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C:\Users\yongkangjun\Desktop\"/>
    </mc:Choice>
  </mc:AlternateContent>
  <xr:revisionPtr revIDLastSave="0" documentId="13_ncr:1_{E0446E79-46A6-42BE-B773-E7467367E2D7}" xr6:coauthVersionLast="47" xr6:coauthVersionMax="47" xr10:uidLastSave="{00000000-0000-0000-0000-000000000000}"/>
  <bookViews>
    <workbookView xWindow="-103" yWindow="-103" windowWidth="21806" windowHeight="13886" tabRatio="683" xr2:uid="{00000000-000D-0000-FFFF-FFFF00000000}"/>
  </bookViews>
  <sheets>
    <sheet name="HSD Tj Cal" sheetId="19" r:id="rId1"/>
    <sheet name="Classified as UnClassified" sheetId="4" state="hidden" r:id="rId2"/>
    <sheet name="xl_DCF_History" sheetId="3" state="very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4" i="19" l="1"/>
  <c r="M15" i="19"/>
  <c r="M16" i="19"/>
  <c r="M17" i="19"/>
  <c r="M18" i="19"/>
  <c r="M19" i="19"/>
  <c r="M20" i="19"/>
  <c r="M13" i="19"/>
  <c r="H16" i="19"/>
  <c r="H24" i="19"/>
  <c r="H14" i="19"/>
  <c r="H18" i="19"/>
  <c r="H17" i="19"/>
  <c r="H15" i="19"/>
  <c r="H13" i="19"/>
  <c r="H26" i="19" l="1"/>
  <c r="C64" i="19" l="1"/>
  <c r="C65" i="19"/>
  <c r="C66" i="19"/>
  <c r="C67" i="19"/>
  <c r="C68" i="19"/>
  <c r="C69" i="19"/>
  <c r="C70" i="19"/>
  <c r="C71" i="19"/>
  <c r="C72" i="19"/>
  <c r="C73" i="19"/>
  <c r="C74" i="19"/>
  <c r="C75" i="19"/>
  <c r="C76" i="19"/>
  <c r="C77" i="19"/>
  <c r="C78" i="19"/>
  <c r="C79" i="19"/>
  <c r="C80" i="19"/>
  <c r="C81" i="19"/>
  <c r="C82" i="19"/>
  <c r="C83" i="19"/>
  <c r="C84" i="19"/>
  <c r="C85" i="19"/>
  <c r="C86" i="19"/>
  <c r="C87" i="19"/>
  <c r="C88" i="19"/>
  <c r="C89" i="19"/>
  <c r="C90" i="19"/>
  <c r="C91" i="19"/>
  <c r="C92" i="19"/>
  <c r="C93" i="19"/>
  <c r="C94" i="19"/>
  <c r="C95" i="19"/>
  <c r="C96" i="19"/>
  <c r="C97" i="19"/>
  <c r="C98" i="19"/>
  <c r="C99" i="19"/>
  <c r="C100" i="19"/>
  <c r="C101" i="19"/>
  <c r="C102" i="19"/>
  <c r="C103" i="19"/>
  <c r="C104" i="19"/>
  <c r="C105" i="19"/>
  <c r="C106" i="19"/>
  <c r="C107" i="19"/>
  <c r="C108" i="19"/>
  <c r="C109" i="19"/>
  <c r="C110" i="19"/>
  <c r="C111" i="19"/>
  <c r="C112" i="19"/>
  <c r="C113" i="19"/>
  <c r="C114" i="19"/>
  <c r="C115" i="19"/>
  <c r="C116" i="19"/>
  <c r="C117" i="19"/>
  <c r="C118" i="19"/>
  <c r="C119" i="19"/>
  <c r="C120" i="19"/>
  <c r="C121" i="19"/>
  <c r="C122" i="19"/>
  <c r="C123" i="19"/>
  <c r="C124" i="19"/>
  <c r="C125" i="19"/>
  <c r="C126" i="19"/>
  <c r="C127" i="19"/>
  <c r="C128" i="19"/>
  <c r="C129" i="19"/>
  <c r="D64" i="19"/>
  <c r="D65" i="19"/>
  <c r="D66" i="19"/>
  <c r="D67" i="19"/>
  <c r="D68" i="19"/>
  <c r="D69" i="19"/>
  <c r="D70" i="19"/>
  <c r="D71" i="19"/>
  <c r="D72" i="19"/>
  <c r="D73" i="19"/>
  <c r="D74" i="19"/>
  <c r="D75" i="19"/>
  <c r="D76" i="19"/>
  <c r="D77" i="19"/>
  <c r="D78" i="19"/>
  <c r="D79" i="19"/>
  <c r="D80" i="19"/>
  <c r="D81" i="19"/>
  <c r="D82" i="19"/>
  <c r="D83" i="19"/>
  <c r="D84" i="19"/>
  <c r="D85" i="19"/>
  <c r="D86" i="19"/>
  <c r="D87" i="19"/>
  <c r="D88" i="19"/>
  <c r="D89" i="19"/>
  <c r="D90" i="19"/>
  <c r="D91" i="19"/>
  <c r="D92" i="19"/>
  <c r="D93" i="19"/>
  <c r="D94" i="19"/>
  <c r="D95" i="19"/>
  <c r="D96" i="19"/>
  <c r="D97" i="19"/>
  <c r="D98" i="19"/>
  <c r="D99" i="19"/>
  <c r="D100" i="19"/>
  <c r="D101" i="19"/>
  <c r="D102" i="19"/>
  <c r="D103" i="19"/>
  <c r="D104" i="19"/>
  <c r="D105" i="19"/>
  <c r="D106" i="19"/>
  <c r="D107" i="19"/>
  <c r="D108" i="19"/>
  <c r="D109" i="19"/>
  <c r="D110" i="19"/>
  <c r="D111" i="19"/>
  <c r="D112" i="19"/>
  <c r="D113" i="19"/>
  <c r="D114" i="19"/>
  <c r="D115" i="19"/>
  <c r="D116" i="19"/>
  <c r="D117" i="19"/>
  <c r="D118" i="19"/>
  <c r="D119" i="19"/>
  <c r="D120" i="19"/>
  <c r="D121" i="19"/>
  <c r="D122" i="19"/>
  <c r="D123" i="19"/>
  <c r="D124" i="19"/>
  <c r="D125" i="19"/>
  <c r="D126" i="19"/>
  <c r="D127" i="19"/>
  <c r="D128" i="19"/>
  <c r="D129" i="19"/>
  <c r="D63" i="19"/>
  <c r="D20" i="19" l="1"/>
  <c r="G47" i="19"/>
  <c r="I65" i="19"/>
  <c r="H68" i="19"/>
  <c r="G69" i="19"/>
  <c r="G70" i="19"/>
  <c r="G71" i="19"/>
  <c r="H72" i="19"/>
  <c r="H73" i="19"/>
  <c r="H75" i="19"/>
  <c r="H76" i="19"/>
  <c r="I77" i="19"/>
  <c r="I78" i="19"/>
  <c r="G79" i="19"/>
  <c r="I81" i="19"/>
  <c r="H83" i="19"/>
  <c r="G84" i="19"/>
  <c r="I85" i="19"/>
  <c r="H86" i="19"/>
  <c r="J87" i="19"/>
  <c r="H89" i="19"/>
  <c r="H91" i="19"/>
  <c r="H92" i="19"/>
  <c r="G93" i="19"/>
  <c r="J94" i="19"/>
  <c r="J95" i="19"/>
  <c r="I97" i="19"/>
  <c r="G100" i="19"/>
  <c r="I101" i="19"/>
  <c r="G102" i="19"/>
  <c r="G103" i="19"/>
  <c r="H105" i="19"/>
  <c r="G108" i="19"/>
  <c r="G109" i="19"/>
  <c r="G110" i="19"/>
  <c r="G111" i="19"/>
  <c r="H112" i="19"/>
  <c r="I113" i="19"/>
  <c r="I116" i="19"/>
  <c r="I117" i="19"/>
  <c r="J118" i="19"/>
  <c r="G119" i="19"/>
  <c r="I121" i="19"/>
  <c r="G123" i="19"/>
  <c r="G124" i="19"/>
  <c r="I125" i="19"/>
  <c r="G126" i="19"/>
  <c r="J127" i="19"/>
  <c r="I129" i="19"/>
  <c r="E65" i="19"/>
  <c r="F66" i="19"/>
  <c r="F67" i="19"/>
  <c r="F68" i="19"/>
  <c r="F69" i="19"/>
  <c r="F70" i="19"/>
  <c r="F71" i="19"/>
  <c r="E73" i="19"/>
  <c r="F74" i="19"/>
  <c r="F75" i="19"/>
  <c r="F76" i="19"/>
  <c r="F77" i="19"/>
  <c r="F78" i="19"/>
  <c r="E79" i="19"/>
  <c r="E80" i="19"/>
  <c r="E81" i="19"/>
  <c r="E82" i="19"/>
  <c r="F83" i="19"/>
  <c r="F84" i="19"/>
  <c r="F85" i="19"/>
  <c r="F86" i="19"/>
  <c r="E87" i="19"/>
  <c r="E89" i="19"/>
  <c r="E90" i="19"/>
  <c r="F91" i="19"/>
  <c r="F92" i="19"/>
  <c r="F93" i="19"/>
  <c r="E95" i="19"/>
  <c r="E96" i="19"/>
  <c r="E97" i="19"/>
  <c r="E98" i="19"/>
  <c r="E99" i="19"/>
  <c r="F100" i="19"/>
  <c r="E101" i="19"/>
  <c r="F102" i="19"/>
  <c r="E103" i="19"/>
  <c r="F105" i="19"/>
  <c r="E106" i="19"/>
  <c r="F107" i="19"/>
  <c r="F108" i="19"/>
  <c r="F109" i="19"/>
  <c r="F110" i="19"/>
  <c r="E111" i="19"/>
  <c r="E113" i="19"/>
  <c r="E114" i="19"/>
  <c r="F115" i="19"/>
  <c r="F116" i="19"/>
  <c r="F117" i="19"/>
  <c r="E118" i="19"/>
  <c r="E119" i="19"/>
  <c r="E121" i="19"/>
  <c r="E122" i="19"/>
  <c r="E123" i="19"/>
  <c r="F124" i="19"/>
  <c r="F126" i="19"/>
  <c r="E127" i="19"/>
  <c r="E129" i="19"/>
  <c r="H63" i="19"/>
  <c r="E63" i="19"/>
  <c r="J86" i="19"/>
  <c r="I64" i="19"/>
  <c r="I66" i="19"/>
  <c r="I67" i="19"/>
  <c r="I72" i="19"/>
  <c r="I74" i="19"/>
  <c r="I80" i="19"/>
  <c r="I82" i="19"/>
  <c r="I88" i="19"/>
  <c r="I89" i="19"/>
  <c r="I90" i="19"/>
  <c r="I96" i="19"/>
  <c r="I98" i="19"/>
  <c r="I99" i="19"/>
  <c r="I104" i="19"/>
  <c r="I106" i="19"/>
  <c r="I107" i="19"/>
  <c r="I112" i="19"/>
  <c r="I114" i="19"/>
  <c r="I115" i="19"/>
  <c r="I120" i="19"/>
  <c r="I122" i="19"/>
  <c r="I128" i="19"/>
  <c r="F64" i="19"/>
  <c r="E72" i="19"/>
  <c r="E88" i="19"/>
  <c r="F94" i="19"/>
  <c r="E104" i="19"/>
  <c r="E112" i="19"/>
  <c r="E120" i="19"/>
  <c r="F125" i="19"/>
  <c r="E128" i="19"/>
  <c r="H74" i="19"/>
  <c r="H88" i="19"/>
  <c r="H104" i="19"/>
  <c r="H114" i="19"/>
  <c r="H128" i="19"/>
  <c r="I105" i="19" l="1"/>
  <c r="F123" i="19"/>
  <c r="G125" i="19"/>
  <c r="G85" i="19"/>
  <c r="G118" i="19"/>
  <c r="G117" i="19"/>
  <c r="F99" i="19"/>
  <c r="G86" i="19"/>
  <c r="I118" i="19"/>
  <c r="G95" i="19"/>
  <c r="G87" i="19"/>
  <c r="G78" i="19"/>
  <c r="I102" i="19"/>
  <c r="G101" i="19"/>
  <c r="I69" i="19"/>
  <c r="G94" i="19"/>
  <c r="I108" i="19"/>
  <c r="J119" i="19"/>
  <c r="I110" i="19"/>
  <c r="I70" i="19"/>
  <c r="G77" i="19"/>
  <c r="H126" i="19"/>
  <c r="I93" i="19"/>
  <c r="J126" i="19"/>
  <c r="G127" i="19"/>
  <c r="I94" i="19"/>
  <c r="I109" i="19"/>
  <c r="H82" i="19"/>
  <c r="J111" i="19"/>
  <c r="J79" i="19"/>
  <c r="H96" i="19"/>
  <c r="H66" i="19"/>
  <c r="H80" i="19"/>
  <c r="H64" i="19"/>
  <c r="I111" i="19"/>
  <c r="J110" i="19"/>
  <c r="J78" i="19"/>
  <c r="H120" i="19"/>
  <c r="H107" i="19"/>
  <c r="I86" i="19"/>
  <c r="J103" i="19"/>
  <c r="J71" i="19"/>
  <c r="H106" i="19"/>
  <c r="H90" i="19"/>
  <c r="I79" i="19"/>
  <c r="J102" i="19"/>
  <c r="J70" i="19"/>
  <c r="H122" i="19"/>
  <c r="H98" i="19"/>
  <c r="F101" i="19"/>
  <c r="H121" i="19"/>
  <c r="H97" i="19"/>
  <c r="H81" i="19"/>
  <c r="E64" i="19"/>
  <c r="J125" i="19"/>
  <c r="J117" i="19"/>
  <c r="J109" i="19"/>
  <c r="J101" i="19"/>
  <c r="J93" i="19"/>
  <c r="J85" i="19"/>
  <c r="J77" i="19"/>
  <c r="J69" i="19"/>
  <c r="I103" i="19"/>
  <c r="I71" i="19"/>
  <c r="J124" i="19"/>
  <c r="J116" i="19"/>
  <c r="J108" i="19"/>
  <c r="J100" i="19"/>
  <c r="J92" i="19"/>
  <c r="J84" i="19"/>
  <c r="J76" i="19"/>
  <c r="J68" i="19"/>
  <c r="J123" i="19"/>
  <c r="J115" i="19"/>
  <c r="J107" i="19"/>
  <c r="J99" i="19"/>
  <c r="J91" i="19"/>
  <c r="J83" i="19"/>
  <c r="J75" i="19"/>
  <c r="J67" i="19"/>
  <c r="G92" i="19"/>
  <c r="I127" i="19"/>
  <c r="I95" i="19"/>
  <c r="J63" i="19"/>
  <c r="J122" i="19"/>
  <c r="J114" i="19"/>
  <c r="J106" i="19"/>
  <c r="J98" i="19"/>
  <c r="J90" i="19"/>
  <c r="J82" i="19"/>
  <c r="J74" i="19"/>
  <c r="J66" i="19"/>
  <c r="H123" i="19"/>
  <c r="G91" i="19"/>
  <c r="I126" i="19"/>
  <c r="J129" i="19"/>
  <c r="J121" i="19"/>
  <c r="J113" i="19"/>
  <c r="J105" i="19"/>
  <c r="J97" i="19"/>
  <c r="J89" i="19"/>
  <c r="J81" i="19"/>
  <c r="J73" i="19"/>
  <c r="J65" i="19"/>
  <c r="H99" i="19"/>
  <c r="I119" i="19"/>
  <c r="I87" i="19"/>
  <c r="J128" i="19"/>
  <c r="J120" i="19"/>
  <c r="J112" i="19"/>
  <c r="J104" i="19"/>
  <c r="J96" i="19"/>
  <c r="J88" i="19"/>
  <c r="J80" i="19"/>
  <c r="J72" i="19"/>
  <c r="J64" i="19"/>
  <c r="H124" i="19"/>
  <c r="H115" i="19"/>
  <c r="H108" i="19"/>
  <c r="E102" i="19"/>
  <c r="H116" i="19"/>
  <c r="H84" i="19"/>
  <c r="I124" i="19"/>
  <c r="I100" i="19"/>
  <c r="I92" i="19"/>
  <c r="I84" i="19"/>
  <c r="I76" i="19"/>
  <c r="I68" i="19"/>
  <c r="E105" i="19"/>
  <c r="H113" i="19"/>
  <c r="H67" i="19"/>
  <c r="I123" i="19"/>
  <c r="I91" i="19"/>
  <c r="I83" i="19"/>
  <c r="I75" i="19"/>
  <c r="I63" i="19"/>
  <c r="H129" i="19"/>
  <c r="H65" i="19"/>
  <c r="I73" i="19"/>
  <c r="H127" i="19"/>
  <c r="H103" i="19"/>
  <c r="F118" i="19"/>
  <c r="E78" i="19"/>
  <c r="E77" i="19"/>
  <c r="E71" i="19"/>
  <c r="E126" i="19"/>
  <c r="F81" i="19"/>
  <c r="E117" i="19"/>
  <c r="E94" i="19"/>
  <c r="E75" i="19"/>
  <c r="F121" i="19"/>
  <c r="F98" i="19"/>
  <c r="G116" i="19"/>
  <c r="H102" i="19"/>
  <c r="H79" i="19"/>
  <c r="E115" i="19"/>
  <c r="E93" i="19"/>
  <c r="F97" i="19"/>
  <c r="F73" i="19"/>
  <c r="G115" i="19"/>
  <c r="G83" i="19"/>
  <c r="H119" i="19"/>
  <c r="H100" i="19"/>
  <c r="H78" i="19"/>
  <c r="E110" i="19"/>
  <c r="E91" i="19"/>
  <c r="E70" i="19"/>
  <c r="F114" i="19"/>
  <c r="F72" i="19"/>
  <c r="G76" i="19"/>
  <c r="H118" i="19"/>
  <c r="H95" i="19"/>
  <c r="F122" i="19"/>
  <c r="E109" i="19"/>
  <c r="E86" i="19"/>
  <c r="E69" i="19"/>
  <c r="F113" i="19"/>
  <c r="F90" i="19"/>
  <c r="G107" i="19"/>
  <c r="G75" i="19"/>
  <c r="H94" i="19"/>
  <c r="H71" i="19"/>
  <c r="E107" i="19"/>
  <c r="E85" i="19"/>
  <c r="F63" i="19"/>
  <c r="F89" i="19"/>
  <c r="F65" i="19"/>
  <c r="G68" i="19"/>
  <c r="H111" i="19"/>
  <c r="H70" i="19"/>
  <c r="F82" i="19"/>
  <c r="E125" i="19"/>
  <c r="E83" i="19"/>
  <c r="F129" i="19"/>
  <c r="F106" i="19"/>
  <c r="G99" i="19"/>
  <c r="G67" i="19"/>
  <c r="H110" i="19"/>
  <c r="H87" i="19"/>
  <c r="F120" i="19"/>
  <c r="F112" i="19"/>
  <c r="F104" i="19"/>
  <c r="F96" i="19"/>
  <c r="F88" i="19"/>
  <c r="F80" i="19"/>
  <c r="E124" i="19"/>
  <c r="E116" i="19"/>
  <c r="E108" i="19"/>
  <c r="E100" i="19"/>
  <c r="E92" i="19"/>
  <c r="E84" i="19"/>
  <c r="E76" i="19"/>
  <c r="E68" i="19"/>
  <c r="F127" i="19"/>
  <c r="F119" i="19"/>
  <c r="F111" i="19"/>
  <c r="F103" i="19"/>
  <c r="F95" i="19"/>
  <c r="F87" i="19"/>
  <c r="F79" i="19"/>
  <c r="G63" i="19"/>
  <c r="G122" i="19"/>
  <c r="G114" i="19"/>
  <c r="G106" i="19"/>
  <c r="G98" i="19"/>
  <c r="G90" i="19"/>
  <c r="G82" i="19"/>
  <c r="G74" i="19"/>
  <c r="G66" i="19"/>
  <c r="H125" i="19"/>
  <c r="H117" i="19"/>
  <c r="H109" i="19"/>
  <c r="H101" i="19"/>
  <c r="H93" i="19"/>
  <c r="H85" i="19"/>
  <c r="H77" i="19"/>
  <c r="H69" i="19"/>
  <c r="E67" i="19"/>
  <c r="G129" i="19"/>
  <c r="G121" i="19"/>
  <c r="G113" i="19"/>
  <c r="G105" i="19"/>
  <c r="G97" i="19"/>
  <c r="G89" i="19"/>
  <c r="G81" i="19"/>
  <c r="G73" i="19"/>
  <c r="G65" i="19"/>
  <c r="E74" i="19"/>
  <c r="E66" i="19"/>
  <c r="G128" i="19"/>
  <c r="G120" i="19"/>
  <c r="G112" i="19"/>
  <c r="G104" i="19"/>
  <c r="G96" i="19"/>
  <c r="G88" i="19"/>
  <c r="G80" i="19"/>
  <c r="G72" i="19"/>
  <c r="G64" i="19"/>
  <c r="F128" i="19"/>
  <c r="K123" i="19" l="1"/>
  <c r="L123" i="19" s="1"/>
  <c r="M123" i="19" s="1"/>
  <c r="K86" i="19"/>
  <c r="L86" i="19" s="1"/>
  <c r="M86" i="19" s="1"/>
  <c r="K124" i="19"/>
  <c r="L124" i="19" s="1"/>
  <c r="M124" i="19" s="1"/>
  <c r="K91" i="19"/>
  <c r="L91" i="19" s="1"/>
  <c r="M91" i="19" s="1"/>
  <c r="K92" i="19"/>
  <c r="L92" i="19" s="1"/>
  <c r="M92" i="19" s="1"/>
  <c r="K72" i="19"/>
  <c r="L72" i="19" s="1"/>
  <c r="M72" i="19" s="1"/>
  <c r="K126" i="19"/>
  <c r="L126" i="19" s="1"/>
  <c r="M126" i="19" s="1"/>
  <c r="K73" i="19"/>
  <c r="K101" i="19"/>
  <c r="K79" i="19"/>
  <c r="K99" i="19"/>
  <c r="K81" i="19"/>
  <c r="K69" i="19"/>
  <c r="K71" i="19"/>
  <c r="K105" i="19"/>
  <c r="K77" i="19"/>
  <c r="K84" i="19"/>
  <c r="K64" i="19"/>
  <c r="K128" i="19"/>
  <c r="K85" i="19"/>
  <c r="K87" i="19"/>
  <c r="K115" i="19"/>
  <c r="K102" i="19"/>
  <c r="K118" i="19"/>
  <c r="K109" i="19"/>
  <c r="K70" i="19"/>
  <c r="K82" i="19"/>
  <c r="K112" i="19"/>
  <c r="K96" i="19"/>
  <c r="K121" i="19"/>
  <c r="K108" i="19"/>
  <c r="K66" i="19"/>
  <c r="K125" i="19"/>
  <c r="K95" i="19"/>
  <c r="K65" i="19"/>
  <c r="K117" i="19"/>
  <c r="K119" i="19"/>
  <c r="K68" i="19"/>
  <c r="K110" i="19"/>
  <c r="K103" i="19"/>
  <c r="K100" i="19"/>
  <c r="K83" i="19"/>
  <c r="K111" i="19"/>
  <c r="K116" i="19"/>
  <c r="K120" i="19"/>
  <c r="K67" i="19"/>
  <c r="K127" i="19"/>
  <c r="K107" i="19"/>
  <c r="K78" i="19"/>
  <c r="K75" i="19"/>
  <c r="K94" i="19"/>
  <c r="K63" i="19"/>
  <c r="K93" i="19"/>
  <c r="K80" i="19"/>
  <c r="K98" i="19"/>
  <c r="K129" i="19"/>
  <c r="K114" i="19"/>
  <c r="K104" i="19"/>
  <c r="K122" i="19"/>
  <c r="K97" i="19"/>
  <c r="K89" i="19"/>
  <c r="K76" i="19"/>
  <c r="K88" i="19"/>
  <c r="K90" i="19"/>
  <c r="K113" i="19"/>
  <c r="K106" i="19"/>
  <c r="K74" i="19"/>
  <c r="L111" i="19" l="1"/>
  <c r="M111" i="19" s="1"/>
  <c r="L82" i="19"/>
  <c r="M82" i="19" s="1"/>
  <c r="L75" i="19"/>
  <c r="M75" i="19" s="1"/>
  <c r="L95" i="19"/>
  <c r="M95" i="19" s="1"/>
  <c r="L70" i="19"/>
  <c r="M70" i="19" s="1"/>
  <c r="L64" i="19"/>
  <c r="M64" i="19" s="1"/>
  <c r="L79" i="19"/>
  <c r="M79" i="19" s="1"/>
  <c r="L73" i="19"/>
  <c r="M73" i="19" s="1"/>
  <c r="L113" i="19"/>
  <c r="M113" i="19" s="1"/>
  <c r="L114" i="19"/>
  <c r="M114" i="19" s="1"/>
  <c r="L78" i="19"/>
  <c r="M78" i="19" s="1"/>
  <c r="L100" i="19"/>
  <c r="M100" i="19" s="1"/>
  <c r="L125" i="19"/>
  <c r="M125" i="19" s="1"/>
  <c r="L109" i="19"/>
  <c r="M109" i="19" s="1"/>
  <c r="L84" i="19"/>
  <c r="M84" i="19" s="1"/>
  <c r="L101" i="19"/>
  <c r="M101" i="19" s="1"/>
  <c r="L90" i="19"/>
  <c r="M90" i="19" s="1"/>
  <c r="L129" i="19"/>
  <c r="M129" i="19" s="1"/>
  <c r="L107" i="19"/>
  <c r="M107" i="19" s="1"/>
  <c r="L103" i="19"/>
  <c r="M103" i="19" s="1"/>
  <c r="L66" i="19"/>
  <c r="M66" i="19" s="1"/>
  <c r="L118" i="19"/>
  <c r="M118" i="19" s="1"/>
  <c r="L77" i="19"/>
  <c r="M77" i="19" s="1"/>
  <c r="L74" i="19"/>
  <c r="M74" i="19" s="1"/>
  <c r="L65" i="19"/>
  <c r="M65" i="19" s="1"/>
  <c r="L128" i="19"/>
  <c r="M128" i="19" s="1"/>
  <c r="L106" i="19"/>
  <c r="M106" i="19" s="1"/>
  <c r="L83" i="19"/>
  <c r="M83" i="19" s="1"/>
  <c r="L88" i="19"/>
  <c r="M88" i="19" s="1"/>
  <c r="L98" i="19"/>
  <c r="M98" i="19" s="1"/>
  <c r="L110" i="19"/>
  <c r="M110" i="19" s="1"/>
  <c r="L102" i="19"/>
  <c r="M102" i="19" s="1"/>
  <c r="L105" i="19"/>
  <c r="M105" i="19" s="1"/>
  <c r="L80" i="19"/>
  <c r="M80" i="19" s="1"/>
  <c r="L67" i="19"/>
  <c r="M67" i="19" s="1"/>
  <c r="L121" i="19"/>
  <c r="M121" i="19" s="1"/>
  <c r="L115" i="19"/>
  <c r="M115" i="19" s="1"/>
  <c r="L71" i="19"/>
  <c r="M71" i="19" s="1"/>
  <c r="L89" i="19"/>
  <c r="M89" i="19" s="1"/>
  <c r="L93" i="19"/>
  <c r="M93" i="19" s="1"/>
  <c r="L120" i="19"/>
  <c r="M120" i="19" s="1"/>
  <c r="L119" i="19"/>
  <c r="M119" i="19" s="1"/>
  <c r="L96" i="19"/>
  <c r="M96" i="19" s="1"/>
  <c r="L87" i="19"/>
  <c r="M87" i="19" s="1"/>
  <c r="L69" i="19"/>
  <c r="M69" i="19" s="1"/>
  <c r="L94" i="19"/>
  <c r="M94" i="19" s="1"/>
  <c r="L99" i="19"/>
  <c r="M99" i="19" s="1"/>
  <c r="L104" i="19"/>
  <c r="M104" i="19" s="1"/>
  <c r="L127" i="19"/>
  <c r="M127" i="19" s="1"/>
  <c r="L108" i="19"/>
  <c r="M108" i="19" s="1"/>
  <c r="L76" i="19"/>
  <c r="M76" i="19" s="1"/>
  <c r="L68" i="19"/>
  <c r="M68" i="19" s="1"/>
  <c r="L97" i="19"/>
  <c r="M97" i="19" s="1"/>
  <c r="L116" i="19"/>
  <c r="M116" i="19" s="1"/>
  <c r="L117" i="19"/>
  <c r="M117" i="19" s="1"/>
  <c r="L112" i="19"/>
  <c r="M112" i="19" s="1"/>
  <c r="L85" i="19"/>
  <c r="M85" i="19" s="1"/>
  <c r="L81" i="19"/>
  <c r="M81" i="19" s="1"/>
  <c r="L122" i="19"/>
  <c r="M122" i="19" s="1"/>
  <c r="H49" i="19" l="1"/>
  <c r="H48" i="19"/>
  <c r="D25" i="19" l="1"/>
  <c r="L25" i="19" l="1"/>
  <c r="L14" i="19"/>
  <c r="L17" i="19"/>
  <c r="L18" i="19"/>
  <c r="L19" i="19"/>
  <c r="L20" i="19"/>
  <c r="L24" i="19" l="1"/>
  <c r="L13" i="19" l="1"/>
  <c r="L16" i="19" l="1"/>
  <c r="L15" i="19"/>
  <c r="L23" i="19" l="1"/>
  <c r="L26" i="19" s="1"/>
  <c r="H43" i="19" l="1"/>
  <c r="H44" i="19" s="1"/>
  <c r="M25" i="19"/>
  <c r="M24" i="19"/>
  <c r="M23" i="19"/>
  <c r="Q29" i="19" l="1"/>
  <c r="Q33" i="19"/>
  <c r="Q30" i="19"/>
  <c r="Q31" i="19"/>
  <c r="Q32" i="19"/>
  <c r="J44" i="19"/>
  <c r="T34" i="19"/>
  <c r="Q34" i="19"/>
  <c r="R34" i="19"/>
  <c r="V34" i="19"/>
  <c r="V30" i="19"/>
  <c r="S29" i="19"/>
  <c r="R33" i="19"/>
  <c r="U32" i="19"/>
  <c r="S30" i="19"/>
  <c r="T31" i="19"/>
  <c r="S34" i="19"/>
  <c r="V33" i="19"/>
  <c r="V29" i="19"/>
  <c r="R29" i="19"/>
  <c r="S33" i="19"/>
  <c r="U31" i="19"/>
  <c r="R30" i="19"/>
  <c r="S31" i="19"/>
  <c r="V32" i="19"/>
  <c r="U29" i="19"/>
  <c r="R31" i="19"/>
  <c r="T33" i="19"/>
  <c r="U30" i="19"/>
  <c r="S32" i="19"/>
  <c r="U34" i="19"/>
  <c r="V31" i="19"/>
  <c r="T29" i="19"/>
  <c r="R32" i="19"/>
  <c r="U33" i="19"/>
  <c r="T30" i="19"/>
  <c r="T32" i="19"/>
</calcChain>
</file>

<file path=xl/sharedStrings.xml><?xml version="1.0" encoding="utf-8"?>
<sst xmlns="http://schemas.openxmlformats.org/spreadsheetml/2006/main" count="154" uniqueCount="114">
  <si>
    <t>PN</t>
  </si>
  <si>
    <t>CLINAME</t>
  </si>
  <si>
    <t>DATETIME</t>
  </si>
  <si>
    <t>DONEBY</t>
  </si>
  <si>
    <t>IPADDRESS</t>
  </si>
  <si>
    <t>APPVER</t>
  </si>
  <si>
    <t>RANDOM</t>
  </si>
  <si>
    <t>CHECKSUM</t>
  </si>
  <si>
    <t>ᑦᑿᑔᑽᑲᒄᒄᑺᑷᑺᑶᑵ</t>
  </si>
  <si>
    <t>ᑂᑂᑀᑃᑇᑀᑃᑁᑂᑊᐱᐱᑂᑄᑋᑆᑆᑡᑞᐱᐹᑘᑞᑥᐼᑉᑋᑁᐺ</t>
  </si>
  <si>
    <t>ᑤᑥᑭᑒᑿᑵᒊᐱᒅᑲᑿ</t>
  </si>
  <si>
    <t>ᑤᑙᑫᑔᑨᑝᑁᑁᑇᑆ</t>
  </si>
  <si>
    <t>ᑇᐿᑁᐿᑁᐿᑁ</t>
  </si>
  <si>
    <t>ᑅᑅᑄᑄ</t>
  </si>
  <si>
    <t>V</t>
  </si>
  <si>
    <t>Plamp</t>
  </si>
  <si>
    <t>Vref</t>
  </si>
  <si>
    <t>W</t>
  </si>
  <si>
    <t>I  lamp_ref</t>
  </si>
  <si>
    <t>A</t>
  </si>
  <si>
    <t>Vbat</t>
  </si>
  <si>
    <t>I lamp</t>
  </si>
  <si>
    <t>Reference</t>
  </si>
  <si>
    <t>I lamp Calculation</t>
  </si>
  <si>
    <t>Rdson_1</t>
  </si>
  <si>
    <t>Rdson_2</t>
  </si>
  <si>
    <t>Rdson_3</t>
  </si>
  <si>
    <t>Rdson_4</t>
  </si>
  <si>
    <t>K/W</t>
  </si>
  <si>
    <t>Temp_amb</t>
  </si>
  <si>
    <t>Temp_junction</t>
  </si>
  <si>
    <t>Plamp Calculation</t>
  </si>
  <si>
    <t xml:space="preserve">Plamp </t>
  </si>
  <si>
    <t>Current_1</t>
  </si>
  <si>
    <t>Current_2</t>
  </si>
  <si>
    <t>Current_3</t>
  </si>
  <si>
    <t>Current_4</t>
  </si>
  <si>
    <t>Rdson_5</t>
  </si>
  <si>
    <t>Rdson_6</t>
  </si>
  <si>
    <t>Current_5</t>
  </si>
  <si>
    <t>Current_6</t>
  </si>
  <si>
    <t>Rdson_7</t>
  </si>
  <si>
    <t>Rdson_8</t>
  </si>
  <si>
    <t>Current_7</t>
  </si>
  <si>
    <t>Current_8</t>
  </si>
  <si>
    <t>uS</t>
  </si>
  <si>
    <t>mA</t>
  </si>
  <si>
    <t>℃</t>
  </si>
  <si>
    <t>VN9D30Q100F</t>
  </si>
  <si>
    <t>VND7E050AJTR</t>
  </si>
  <si>
    <t>VND7E025AJTR</t>
  </si>
  <si>
    <t>Tr+Td</t>
  </si>
  <si>
    <t>Is</t>
  </si>
  <si>
    <t>Conduction Power</t>
  </si>
  <si>
    <t>Switching   Power</t>
  </si>
  <si>
    <t>Conduction 
Power(W)/Ch.</t>
  </si>
  <si>
    <t>Switching 
Power(W)/Ch.</t>
  </si>
  <si>
    <t>Tj</t>
  </si>
  <si>
    <t>Rise_Temp</t>
  </si>
  <si>
    <t>ST HSD Tj Calculation</t>
  </si>
  <si>
    <t>Power Category</t>
  </si>
  <si>
    <t>Power(w)</t>
  </si>
  <si>
    <t>Percentage(%)</t>
  </si>
  <si>
    <t>VN9D5D20FN</t>
  </si>
  <si>
    <t>VNQ7050AJTR</t>
  </si>
  <si>
    <t>VNQ7E100AJTR</t>
  </si>
  <si>
    <t>mΩ @150℃</t>
  </si>
  <si>
    <t>Switching Frequency(HZ)</t>
  </si>
  <si>
    <t>Power Disippation (On status)</t>
  </si>
  <si>
    <t xml:space="preserve">Total Power comsumption </t>
  </si>
  <si>
    <r>
      <rPr>
        <b/>
        <sz val="11"/>
        <color theme="1"/>
        <rFont val="等线"/>
        <family val="2"/>
        <scheme val="minor"/>
      </rPr>
      <t>Resistive load</t>
    </r>
    <r>
      <rPr>
        <b/>
        <sz val="11"/>
        <color theme="0"/>
        <rFont val="等线"/>
        <family val="2"/>
        <scheme val="minor"/>
      </rPr>
      <t>: ideal waveforms</t>
    </r>
  </si>
  <si>
    <t>Psw(on)=1/6·(Vds·Id)·tr/T</t>
  </si>
  <si>
    <t>Psw(off)=1/6·(Vds·Id)·tf/T</t>
  </si>
  <si>
    <t>Psw(on)=negligible</t>
  </si>
  <si>
    <r>
      <rPr>
        <b/>
        <sz val="10"/>
        <color theme="1"/>
        <rFont val="Arial"/>
        <family val="2"/>
      </rPr>
      <t>Inductive load</t>
    </r>
    <r>
      <rPr>
        <b/>
        <sz val="10"/>
        <color theme="0"/>
        <rFont val="Arial"/>
        <family val="2"/>
      </rPr>
      <t>: ideal waveforms</t>
    </r>
  </si>
  <si>
    <t>Psw(off)=1/2·(Vdsmax·Idpeak)·tf/T</t>
  </si>
  <si>
    <t>%</t>
    <phoneticPr fontId="15" type="noConversion"/>
  </si>
  <si>
    <t>VN9D5D20FN</t>
    <phoneticPr fontId="15" type="noConversion"/>
  </si>
  <si>
    <t>ch0,1</t>
    <phoneticPr fontId="15" type="noConversion"/>
  </si>
  <si>
    <t>Pch1</t>
    <phoneticPr fontId="15" type="noConversion"/>
  </si>
  <si>
    <t>Pch2</t>
  </si>
  <si>
    <t>Pch3</t>
  </si>
  <si>
    <t>Pch4</t>
  </si>
  <si>
    <t>Pt</t>
    <phoneticPr fontId="15" type="noConversion"/>
  </si>
  <si>
    <t>Tj</t>
    <phoneticPr fontId="15" type="noConversion"/>
  </si>
  <si>
    <t>Diff</t>
    <phoneticPr fontId="15" type="noConversion"/>
  </si>
  <si>
    <t>ch2,3(4,5)</t>
    <phoneticPr fontId="15" type="noConversion"/>
  </si>
  <si>
    <t>Pch0</t>
    <phoneticPr fontId="15" type="noConversion"/>
  </si>
  <si>
    <t>Pch5</t>
  </si>
  <si>
    <t>Tolerance</t>
    <phoneticPr fontId="15" type="noConversion"/>
  </si>
  <si>
    <t>VND7020AJTR</t>
  </si>
  <si>
    <t>VN7E010AJTR</t>
  </si>
  <si>
    <t>VN7008AJTR</t>
  </si>
  <si>
    <t>VN7007AHTR</t>
  </si>
  <si>
    <t>VN7004CHTR</t>
  </si>
  <si>
    <t>VN7003AHTR</t>
  </si>
  <si>
    <t>VN7000AYTR</t>
  </si>
  <si>
    <t>VND7140AJTR</t>
  </si>
  <si>
    <t>VND7E040AJTR</t>
  </si>
  <si>
    <t>mΩ(ch0,1)</t>
  </si>
  <si>
    <t>RthJA(JEDEC)</t>
  </si>
  <si>
    <t>RthJA(App.)</t>
  </si>
  <si>
    <t>Tol_RthJA</t>
  </si>
  <si>
    <t>%</t>
  </si>
  <si>
    <t>AJ | F</t>
  </si>
  <si>
    <t>AY</t>
  </si>
  <si>
    <t>6.5*9.7</t>
  </si>
  <si>
    <t>10.3*10.3</t>
  </si>
  <si>
    <t>AH | CH</t>
  </si>
  <si>
    <t>5*6 | 6*6</t>
  </si>
  <si>
    <t>mΩ(ch2,3,4,5)</t>
  </si>
  <si>
    <t>Load Type</t>
  </si>
  <si>
    <t>Resistive</t>
  </si>
  <si>
    <t>Duty Cycle
（100%）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</si>
</sst>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"/>
    <numFmt numFmtId="177" formatCode="0.0"/>
    <numFmt numFmtId="179" formatCode="0.000_ "/>
    <numFmt numFmtId="182" formatCode="0.00_ "/>
  </numFmts>
  <fonts count="21" x14ac:knownFonts="1">
    <font>
      <sz val="11"/>
      <color theme="1"/>
      <name val="等线"/>
      <family val="2"/>
      <scheme val="minor"/>
    </font>
    <font>
      <u/>
      <sz val="11"/>
      <color theme="10"/>
      <name val="等线"/>
      <family val="2"/>
      <scheme val="minor"/>
    </font>
    <font>
      <b/>
      <sz val="11"/>
      <color theme="0"/>
      <name val="等线"/>
      <family val="2"/>
      <scheme val="minor"/>
    </font>
    <font>
      <sz val="10"/>
      <color theme="1"/>
      <name val="Arial"/>
      <family val="2"/>
    </font>
    <font>
      <sz val="11"/>
      <color theme="1"/>
      <name val="等线"/>
      <family val="2"/>
      <scheme val="minor"/>
    </font>
    <font>
      <b/>
      <sz val="11"/>
      <color theme="1"/>
      <name val="等线"/>
      <family val="2"/>
      <scheme val="minor"/>
    </font>
    <font>
      <b/>
      <sz val="12"/>
      <color theme="0"/>
      <name val="等线"/>
      <family val="2"/>
      <scheme val="minor"/>
    </font>
    <font>
      <b/>
      <sz val="12"/>
      <color theme="1"/>
      <name val="等线"/>
      <family val="2"/>
      <scheme val="minor"/>
    </font>
    <font>
      <b/>
      <sz val="14"/>
      <color theme="1"/>
      <name val="等线"/>
      <family val="2"/>
      <scheme val="minor"/>
    </font>
    <font>
      <b/>
      <sz val="14"/>
      <color theme="1"/>
      <name val="Arial Black"/>
      <family val="2"/>
    </font>
    <font>
      <i/>
      <sz val="11"/>
      <color theme="1"/>
      <name val="等线"/>
      <family val="2"/>
      <scheme val="minor"/>
    </font>
    <font>
      <b/>
      <i/>
      <sz val="14"/>
      <color theme="1"/>
      <name val="等线"/>
      <family val="2"/>
      <scheme val="minor"/>
    </font>
    <font>
      <i/>
      <sz val="10"/>
      <color rgb="FF00000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9"/>
      <name val="等线"/>
      <family val="3"/>
      <charset val="134"/>
      <scheme val="minor"/>
    </font>
    <font>
      <sz val="10"/>
      <color theme="1"/>
      <name val="等线"/>
      <family val="2"/>
      <scheme val="minor"/>
    </font>
    <font>
      <sz val="10"/>
      <color rgb="FF000000"/>
      <name val="Arial"/>
      <family val="2"/>
    </font>
    <font>
      <b/>
      <i/>
      <sz val="11"/>
      <color theme="1"/>
      <name val="等线"/>
      <family val="2"/>
      <scheme val="minor"/>
    </font>
    <font>
      <b/>
      <sz val="10"/>
      <color theme="1"/>
      <name val="等线"/>
      <family val="2"/>
      <scheme val="minor"/>
    </font>
    <font>
      <sz val="8"/>
      <color theme="1"/>
      <name val="等线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62">
    <xf numFmtId="0" fontId="0" fillId="0" borderId="0" xfId="0"/>
    <xf numFmtId="0" fontId="0" fillId="4" borderId="10" xfId="0" applyFill="1" applyBorder="1" applyAlignment="1">
      <alignment horizontal="center" vertical="center"/>
    </xf>
    <xf numFmtId="0" fontId="0" fillId="0" borderId="12" xfId="0" applyBorder="1"/>
    <xf numFmtId="0" fontId="0" fillId="0" borderId="15" xfId="0" applyBorder="1"/>
    <xf numFmtId="0" fontId="0" fillId="0" borderId="14" xfId="0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Border="1"/>
    <xf numFmtId="0" fontId="0" fillId="0" borderId="6" xfId="0" applyBorder="1"/>
    <xf numFmtId="0" fontId="0" fillId="6" borderId="10" xfId="0" applyFill="1" applyBorder="1" applyAlignment="1">
      <alignment horizontal="center" vertical="center"/>
    </xf>
    <xf numFmtId="0" fontId="4" fillId="0" borderId="10" xfId="1" applyFont="1" applyBorder="1"/>
    <xf numFmtId="0" fontId="4" fillId="0" borderId="14" xfId="1" applyFont="1" applyBorder="1"/>
    <xf numFmtId="2" fontId="0" fillId="7" borderId="19" xfId="0" applyNumberFormat="1" applyFont="1" applyFill="1" applyBorder="1" applyAlignment="1" applyProtection="1">
      <alignment horizontal="center"/>
      <protection hidden="1"/>
    </xf>
    <xf numFmtId="10" fontId="0" fillId="7" borderId="24" xfId="0" applyNumberFormat="1" applyFont="1" applyFill="1" applyBorder="1" applyAlignment="1" applyProtection="1">
      <alignment horizontal="center" vertical="center"/>
      <protection hidden="1"/>
    </xf>
    <xf numFmtId="2" fontId="0" fillId="7" borderId="10" xfId="0" applyNumberFormat="1" applyFont="1" applyFill="1" applyBorder="1" applyAlignment="1" applyProtection="1">
      <alignment horizontal="center"/>
      <protection hidden="1"/>
    </xf>
    <xf numFmtId="10" fontId="0" fillId="7" borderId="12" xfId="0" applyNumberFormat="1" applyFont="1" applyFill="1" applyBorder="1" applyAlignment="1" applyProtection="1">
      <alignment horizontal="center" vertical="center"/>
      <protection hidden="1"/>
    </xf>
    <xf numFmtId="2" fontId="0" fillId="7" borderId="10" xfId="0" applyNumberFormat="1" applyFont="1" applyFill="1" applyBorder="1" applyAlignment="1" applyProtection="1">
      <alignment horizontal="center" vertical="center"/>
      <protection hidden="1"/>
    </xf>
    <xf numFmtId="0" fontId="0" fillId="7" borderId="15" xfId="0" applyFont="1" applyFill="1" applyBorder="1" applyProtection="1">
      <protection hidden="1"/>
    </xf>
    <xf numFmtId="0" fontId="0" fillId="4" borderId="10" xfId="0" applyFill="1" applyBorder="1" applyAlignment="1" applyProtection="1">
      <alignment horizontal="center" vertical="center"/>
      <protection locked="0"/>
    </xf>
    <xf numFmtId="176" fontId="0" fillId="0" borderId="10" xfId="0" applyNumberFormat="1" applyBorder="1" applyAlignment="1" applyProtection="1">
      <alignment horizontal="center" vertical="center"/>
      <protection hidden="1"/>
    </xf>
    <xf numFmtId="176" fontId="0" fillId="0" borderId="14" xfId="0" applyNumberFormat="1" applyBorder="1" applyAlignment="1" applyProtection="1">
      <alignment horizontal="center" vertical="center"/>
      <protection hidden="1"/>
    </xf>
    <xf numFmtId="177" fontId="8" fillId="0" borderId="14" xfId="0" applyNumberFormat="1" applyFont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2" fontId="0" fillId="0" borderId="14" xfId="0" applyNumberForma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1" fontId="0" fillId="0" borderId="14" xfId="0" applyNumberFormat="1" applyBorder="1" applyAlignment="1" applyProtection="1">
      <alignment horizontal="center" vertical="center"/>
      <protection locked="0"/>
    </xf>
    <xf numFmtId="2" fontId="9" fillId="7" borderId="14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>
      <alignment horizontal="left" vertical="center"/>
    </xf>
    <xf numFmtId="0" fontId="3" fillId="0" borderId="0" xfId="0" applyFont="1" applyBorder="1"/>
    <xf numFmtId="0" fontId="3" fillId="0" borderId="6" xfId="0" applyFont="1" applyBorder="1"/>
    <xf numFmtId="0" fontId="3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2" fillId="2" borderId="4" xfId="0" applyFont="1" applyFill="1" applyBorder="1" applyAlignment="1"/>
    <xf numFmtId="0" fontId="13" fillId="2" borderId="4" xfId="0" applyFont="1" applyFill="1" applyBorder="1" applyAlignment="1"/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82" fontId="0" fillId="0" borderId="0" xfId="0" applyNumberFormat="1"/>
    <xf numFmtId="0" fontId="2" fillId="2" borderId="3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82" fontId="0" fillId="0" borderId="0" xfId="0" applyNumberFormat="1" applyAlignment="1">
      <alignment horizontal="center" vertical="center"/>
    </xf>
    <xf numFmtId="179" fontId="0" fillId="0" borderId="0" xfId="0" applyNumberFormat="1"/>
    <xf numFmtId="0" fontId="0" fillId="0" borderId="0" xfId="0" applyAlignment="1">
      <alignment horizontal="center" vertical="center"/>
    </xf>
    <xf numFmtId="182" fontId="0" fillId="0" borderId="12" xfId="0" applyNumberFormat="1" applyBorder="1" applyAlignment="1">
      <alignment horizontal="center"/>
    </xf>
    <xf numFmtId="182" fontId="0" fillId="0" borderId="15" xfId="0" applyNumberFormat="1" applyBorder="1" applyAlignment="1">
      <alignment horizontal="center"/>
    </xf>
    <xf numFmtId="0" fontId="2" fillId="2" borderId="2" xfId="0" applyFont="1" applyFill="1" applyBorder="1" applyAlignment="1">
      <alignment horizontal="left" vertical="center" indent="1"/>
    </xf>
    <xf numFmtId="0" fontId="13" fillId="2" borderId="2" xfId="0" applyFont="1" applyFill="1" applyBorder="1" applyAlignment="1">
      <alignment horizontal="left" vertical="center" indent="1"/>
    </xf>
    <xf numFmtId="0" fontId="3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0" fontId="0" fillId="4" borderId="19" xfId="0" applyFill="1" applyBorder="1" applyAlignment="1" applyProtection="1">
      <alignment horizontal="center" vertical="center"/>
      <protection locked="0"/>
    </xf>
    <xf numFmtId="0" fontId="0" fillId="4" borderId="21" xfId="0" applyFill="1" applyBorder="1" applyAlignment="1" applyProtection="1">
      <alignment horizontal="center" vertical="center"/>
      <protection locked="0"/>
    </xf>
    <xf numFmtId="0" fontId="4" fillId="0" borderId="21" xfId="1" applyFont="1" applyBorder="1"/>
    <xf numFmtId="176" fontId="0" fillId="0" borderId="21" xfId="0" applyNumberFormat="1" applyBorder="1" applyAlignment="1" applyProtection="1">
      <alignment horizontal="center" vertical="center"/>
      <protection hidden="1"/>
    </xf>
    <xf numFmtId="0" fontId="0" fillId="4" borderId="14" xfId="0" applyFill="1" applyBorder="1" applyAlignment="1" applyProtection="1">
      <alignment horizontal="center" vertical="center"/>
      <protection locked="0"/>
    </xf>
    <xf numFmtId="0" fontId="0" fillId="0" borderId="22" xfId="0" applyBorder="1"/>
    <xf numFmtId="177" fontId="0" fillId="0" borderId="21" xfId="0" applyNumberFormat="1" applyBorder="1" applyAlignment="1" applyProtection="1">
      <alignment horizontal="center" vertical="center"/>
      <protection hidden="1"/>
    </xf>
    <xf numFmtId="0" fontId="0" fillId="0" borderId="11" xfId="0" applyBorder="1" applyAlignment="1">
      <alignment horizontal="right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24" xfId="0" applyBorder="1"/>
    <xf numFmtId="0" fontId="0" fillId="0" borderId="19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5" fillId="10" borderId="33" xfId="0" applyFont="1" applyFill="1" applyBorder="1" applyAlignment="1" applyProtection="1">
      <alignment horizontal="center" vertical="center"/>
      <protection locked="0"/>
    </xf>
    <xf numFmtId="0" fontId="5" fillId="10" borderId="39" xfId="0" applyFont="1" applyFill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23" xfId="0" applyFill="1" applyBorder="1" applyAlignment="1" applyProtection="1">
      <alignment horizontal="left" vertical="center"/>
      <protection locked="0"/>
    </xf>
    <xf numFmtId="0" fontId="0" fillId="0" borderId="11" xfId="0" applyFill="1" applyBorder="1" applyAlignment="1" applyProtection="1">
      <alignment horizontal="left" vertical="center"/>
      <protection locked="0"/>
    </xf>
    <xf numFmtId="0" fontId="5" fillId="10" borderId="38" xfId="0" applyFont="1" applyFill="1" applyBorder="1" applyAlignment="1">
      <alignment horizontal="center"/>
    </xf>
    <xf numFmtId="0" fontId="0" fillId="0" borderId="12" xfId="0" applyFill="1" applyBorder="1"/>
    <xf numFmtId="0" fontId="5" fillId="7" borderId="14" xfId="0" applyFont="1" applyFill="1" applyBorder="1" applyAlignment="1" applyProtection="1">
      <alignment horizontal="center" vertical="center"/>
      <protection locked="0"/>
    </xf>
    <xf numFmtId="0" fontId="5" fillId="0" borderId="15" xfId="0" applyFont="1" applyBorder="1"/>
    <xf numFmtId="0" fontId="10" fillId="0" borderId="20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0" fontId="10" fillId="0" borderId="13" xfId="0" applyFont="1" applyBorder="1" applyAlignment="1">
      <alignment horizontal="right"/>
    </xf>
    <xf numFmtId="0" fontId="10" fillId="0" borderId="11" xfId="0" applyFont="1" applyBorder="1" applyAlignment="1">
      <alignment horizontal="right" wrapText="1"/>
    </xf>
    <xf numFmtId="0" fontId="10" fillId="0" borderId="13" xfId="0" applyFont="1" applyBorder="1" applyAlignment="1">
      <alignment horizontal="right" wrapText="1"/>
    </xf>
    <xf numFmtId="0" fontId="10" fillId="0" borderId="28" xfId="0" applyFont="1" applyBorder="1" applyAlignment="1">
      <alignment horizontal="right"/>
    </xf>
    <xf numFmtId="0" fontId="11" fillId="0" borderId="13" xfId="0" applyFont="1" applyFill="1" applyBorder="1" applyAlignment="1">
      <alignment horizontal="right"/>
    </xf>
    <xf numFmtId="0" fontId="10" fillId="0" borderId="20" xfId="0" applyFont="1" applyBorder="1" applyAlignment="1">
      <alignment horizontal="right" wrapText="1"/>
    </xf>
    <xf numFmtId="0" fontId="18" fillId="0" borderId="13" xfId="0" applyFont="1" applyBorder="1" applyAlignment="1">
      <alignment horizontal="right" wrapText="1"/>
    </xf>
    <xf numFmtId="0" fontId="0" fillId="0" borderId="25" xfId="0" applyFill="1" applyBorder="1" applyAlignment="1" applyProtection="1">
      <alignment horizontal="left" vertical="center"/>
      <protection locked="0"/>
    </xf>
    <xf numFmtId="0" fontId="8" fillId="0" borderId="15" xfId="0" applyFont="1" applyBorder="1"/>
    <xf numFmtId="0" fontId="19" fillId="8" borderId="35" xfId="0" applyFont="1" applyFill="1" applyBorder="1" applyAlignment="1">
      <alignment horizontal="center" vertical="center" wrapText="1"/>
    </xf>
    <xf numFmtId="0" fontId="19" fillId="8" borderId="36" xfId="0" applyFont="1" applyFill="1" applyBorder="1" applyAlignment="1">
      <alignment horizontal="center" vertical="center" wrapText="1"/>
    </xf>
    <xf numFmtId="0" fontId="5" fillId="0" borderId="0" xfId="0" applyFont="1"/>
    <xf numFmtId="0" fontId="0" fillId="11" borderId="10" xfId="0" applyFill="1" applyBorder="1" applyAlignment="1" applyProtection="1">
      <alignment horizontal="center" vertical="center"/>
    </xf>
    <xf numFmtId="0" fontId="0" fillId="11" borderId="10" xfId="0" applyFill="1" applyBorder="1" applyAlignment="1" applyProtection="1">
      <alignment horizontal="center" vertical="center"/>
      <protection locked="0"/>
    </xf>
    <xf numFmtId="0" fontId="0" fillId="11" borderId="14" xfId="0" applyFill="1" applyBorder="1" applyAlignment="1" applyProtection="1">
      <alignment horizontal="center" vertical="center"/>
      <protection locked="0"/>
    </xf>
    <xf numFmtId="0" fontId="19" fillId="8" borderId="44" xfId="0" applyFont="1" applyFill="1" applyBorder="1" applyAlignment="1">
      <alignment horizontal="center" vertical="center" wrapText="1"/>
    </xf>
    <xf numFmtId="0" fontId="0" fillId="4" borderId="37" xfId="0" applyFill="1" applyBorder="1" applyAlignment="1" applyProtection="1">
      <alignment horizontal="center" vertical="center"/>
      <protection locked="0"/>
    </xf>
    <xf numFmtId="0" fontId="19" fillId="0" borderId="19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0" fillId="11" borderId="21" xfId="0" applyFill="1" applyBorder="1" applyAlignment="1" applyProtection="1">
      <alignment horizontal="center" vertical="center"/>
    </xf>
    <xf numFmtId="0" fontId="16" fillId="0" borderId="22" xfId="0" applyFont="1" applyBorder="1" applyAlignment="1">
      <alignment horizontal="center" vertical="center"/>
    </xf>
    <xf numFmtId="177" fontId="20" fillId="0" borderId="0" xfId="0" applyNumberFormat="1" applyFont="1" applyBorder="1"/>
    <xf numFmtId="177" fontId="20" fillId="0" borderId="2" xfId="0" applyNumberFormat="1" applyFont="1" applyBorder="1"/>
    <xf numFmtId="177" fontId="20" fillId="0" borderId="3" xfId="0" applyNumberFormat="1" applyFont="1" applyBorder="1"/>
    <xf numFmtId="177" fontId="20" fillId="0" borderId="4" xfId="0" applyNumberFormat="1" applyFont="1" applyBorder="1"/>
    <xf numFmtId="177" fontId="20" fillId="0" borderId="5" xfId="0" applyNumberFormat="1" applyFont="1" applyBorder="1"/>
    <xf numFmtId="177" fontId="20" fillId="0" borderId="6" xfId="0" applyNumberFormat="1" applyFont="1" applyBorder="1"/>
    <xf numFmtId="177" fontId="20" fillId="0" borderId="7" xfId="0" applyNumberFormat="1" applyFont="1" applyBorder="1"/>
    <xf numFmtId="177" fontId="20" fillId="0" borderId="8" xfId="0" applyNumberFormat="1" applyFont="1" applyBorder="1"/>
    <xf numFmtId="177" fontId="20" fillId="0" borderId="9" xfId="0" applyNumberFormat="1" applyFont="1" applyBorder="1"/>
    <xf numFmtId="0" fontId="19" fillId="8" borderId="29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2" fillId="9" borderId="21" xfId="0" applyFont="1" applyFill="1" applyBorder="1" applyAlignment="1">
      <alignment horizontal="center" vertical="center"/>
    </xf>
    <xf numFmtId="0" fontId="2" fillId="9" borderId="2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9" borderId="42" xfId="0" applyFont="1" applyFill="1" applyBorder="1" applyAlignment="1">
      <alignment horizontal="center" vertical="center"/>
    </xf>
    <xf numFmtId="0" fontId="2" fillId="9" borderId="21" xfId="0" applyFont="1" applyFill="1" applyBorder="1" applyAlignment="1">
      <alignment horizontal="center" vertical="center"/>
    </xf>
    <xf numFmtId="0" fontId="19" fillId="4" borderId="34" xfId="0" applyFont="1" applyFill="1" applyBorder="1" applyAlignment="1" applyProtection="1">
      <alignment horizontal="center" vertical="center"/>
      <protection locked="0"/>
    </xf>
    <xf numFmtId="0" fontId="19" fillId="4" borderId="35" xfId="0" applyFont="1" applyFill="1" applyBorder="1" applyAlignment="1" applyProtection="1">
      <alignment horizontal="center" vertical="center"/>
      <protection locked="0"/>
    </xf>
    <xf numFmtId="0" fontId="19" fillId="4" borderId="36" xfId="0" applyFont="1" applyFill="1" applyBorder="1" applyAlignment="1" applyProtection="1">
      <alignment horizontal="center" vertical="center"/>
      <protection locked="0"/>
    </xf>
    <xf numFmtId="0" fontId="17" fillId="0" borderId="7" xfId="0" applyFont="1" applyBorder="1" applyAlignment="1">
      <alignment horizontal="left" vertical="center"/>
    </xf>
    <xf numFmtId="0" fontId="17" fillId="0" borderId="8" xfId="0" applyFont="1" applyBorder="1" applyAlignment="1">
      <alignment horizontal="left" vertical="center"/>
    </xf>
    <xf numFmtId="0" fontId="17" fillId="0" borderId="9" xfId="0" applyFont="1" applyBorder="1" applyAlignment="1">
      <alignment horizontal="left" vertical="center"/>
    </xf>
    <xf numFmtId="0" fontId="7" fillId="0" borderId="32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0" fillId="7" borderId="1" xfId="0" applyFill="1" applyBorder="1" applyAlignment="1">
      <alignment horizontal="right" vertical="center"/>
    </xf>
    <xf numFmtId="0" fontId="0" fillId="7" borderId="26" xfId="0" applyFill="1" applyBorder="1" applyAlignment="1">
      <alignment horizontal="right" vertical="center"/>
    </xf>
    <xf numFmtId="0" fontId="0" fillId="7" borderId="43" xfId="0" applyFill="1" applyBorder="1" applyAlignment="1">
      <alignment horizontal="right" vertical="center"/>
    </xf>
    <xf numFmtId="0" fontId="0" fillId="7" borderId="23" xfId="0" applyFill="1" applyBorder="1" applyAlignment="1">
      <alignment horizontal="right" vertical="center"/>
    </xf>
    <xf numFmtId="0" fontId="0" fillId="7" borderId="27" xfId="0" applyFill="1" applyBorder="1" applyAlignment="1">
      <alignment horizontal="right" vertical="center"/>
    </xf>
    <xf numFmtId="0" fontId="0" fillId="7" borderId="25" xfId="0" applyFill="1" applyBorder="1" applyAlignment="1">
      <alignment horizontal="right" vertical="center"/>
    </xf>
    <xf numFmtId="0" fontId="0" fillId="3" borderId="16" xfId="0" applyFill="1" applyBorder="1" applyAlignment="1" applyProtection="1">
      <alignment horizontal="center" vertical="center"/>
      <protection locked="0"/>
    </xf>
    <xf numFmtId="0" fontId="0" fillId="3" borderId="17" xfId="0" applyFill="1" applyBorder="1" applyAlignment="1" applyProtection="1">
      <alignment horizontal="center" vertical="center"/>
      <protection locked="0"/>
    </xf>
    <xf numFmtId="0" fontId="0" fillId="3" borderId="18" xfId="0" applyFill="1" applyBorder="1" applyAlignment="1" applyProtection="1">
      <alignment horizontal="center" vertical="center"/>
      <protection locked="0"/>
    </xf>
    <xf numFmtId="0" fontId="0" fillId="5" borderId="16" xfId="0" applyFill="1" applyBorder="1" applyAlignment="1" applyProtection="1">
      <alignment horizontal="center" vertical="center"/>
      <protection locked="0"/>
    </xf>
    <xf numFmtId="0" fontId="0" fillId="5" borderId="17" xfId="0" applyFill="1" applyBorder="1" applyAlignment="1" applyProtection="1">
      <alignment horizontal="center" vertical="center"/>
      <protection locked="0"/>
    </xf>
    <xf numFmtId="0" fontId="0" fillId="5" borderId="18" xfId="0" applyFill="1" applyBorder="1" applyAlignment="1" applyProtection="1">
      <alignment horizontal="center" vertical="center"/>
      <protection locked="0"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0" xfId="0" applyBorder="1" applyAlignment="1">
      <alignment horizontal="center"/>
    </xf>
    <xf numFmtId="0" fontId="6" fillId="2" borderId="41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</cellXfs>
  <cellStyles count="2">
    <cellStyle name="常规" xfId="0" builtinId="0"/>
    <cellStyle name="超链接" xfId="1" builtinId="8"/>
  </cellStyles>
  <dxfs count="8">
    <dxf>
      <fill>
        <patternFill>
          <bgColor theme="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CE9E94"/>
      <color rgb="FFF6B1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454087</xdr:colOff>
      <xdr:row>29</xdr:row>
      <xdr:rowOff>101839</xdr:rowOff>
    </xdr:from>
    <xdr:to>
      <xdr:col>6</xdr:col>
      <xdr:colOff>860598</xdr:colOff>
      <xdr:row>31</xdr:row>
      <xdr:rowOff>55784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916BB99A-DD03-4D21-A277-E76E5378E0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13606" y="5355243"/>
          <a:ext cx="402701" cy="333625"/>
        </a:xfrm>
        <a:prstGeom prst="rect">
          <a:avLst/>
        </a:prstGeom>
      </xdr:spPr>
    </xdr:pic>
    <xdr:clientData/>
  </xdr:twoCellAnchor>
  <xdr:twoCellAnchor>
    <xdr:from>
      <xdr:col>2</xdr:col>
      <xdr:colOff>200025</xdr:colOff>
      <xdr:row>3</xdr:row>
      <xdr:rowOff>161925</xdr:rowOff>
    </xdr:from>
    <xdr:to>
      <xdr:col>15</xdr:col>
      <xdr:colOff>0</xdr:colOff>
      <xdr:row>6</xdr:row>
      <xdr:rowOff>52387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A1AFFD2E-DA08-41F9-A893-2B1A73C3545C}"/>
                </a:ext>
              </a:extLst>
            </xdr:cNvPr>
            <xdr:cNvSpPr txBox="1"/>
          </xdr:nvSpPr>
          <xdr:spPr>
            <a:xfrm>
              <a:off x="200025" y="733425"/>
              <a:ext cx="6743700" cy="461962"/>
            </a:xfrm>
            <a:prstGeom prst="rect">
              <a:avLst/>
            </a:prstGeom>
            <a:solidFill>
              <a:schemeClr val="accent1">
                <a:lumMod val="20000"/>
                <a:lumOff val="80000"/>
              </a:schemeClr>
            </a:solidFill>
            <a:ln>
              <a:solidFill>
                <a:srgbClr val="FF0000"/>
              </a:solidFill>
            </a:ln>
          </xdr:spPr>
          <xdr:txBody>
            <a:bodyPr wrap="square" lIns="0" tIns="0" rIns="0" bIns="0" rtlCol="0">
              <a:noAutofit/>
            </a:bodyPr>
            <a:lstStyle>
              <a:defPPr>
                <a:defRPr lang="fr-FR"/>
              </a:defPPr>
              <a:lvl1pPr marL="0" algn="l" defTabSz="1218987" rtl="0" eaLnBrk="1" latinLnBrk="0" hangingPunct="1">
                <a:defRPr sz="24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609493" algn="l" defTabSz="1218987" rtl="0" eaLnBrk="1" latinLnBrk="0" hangingPunct="1">
                <a:defRPr sz="24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1218987" algn="l" defTabSz="1218987" rtl="0" eaLnBrk="1" latinLnBrk="0" hangingPunct="1">
                <a:defRPr sz="24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828480" algn="l" defTabSz="1218987" rtl="0" eaLnBrk="1" latinLnBrk="0" hangingPunct="1">
                <a:defRPr sz="24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2437973" algn="l" defTabSz="1218987" rtl="0" eaLnBrk="1" latinLnBrk="0" hangingPunct="1">
                <a:defRPr sz="24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3047467" algn="l" defTabSz="1218987" rtl="0" eaLnBrk="1" latinLnBrk="0" hangingPunct="1">
                <a:defRPr sz="24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3656960" algn="l" defTabSz="1218987" rtl="0" eaLnBrk="1" latinLnBrk="0" hangingPunct="1">
                <a:defRPr sz="24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4266453" algn="l" defTabSz="1218987" rtl="0" eaLnBrk="1" latinLnBrk="0" hangingPunct="1">
                <a:defRPr sz="24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4875947" algn="l" defTabSz="1218987" rtl="0" eaLnBrk="1" latinLnBrk="0" hangingPunct="1">
                <a:defRPr sz="24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lvl="1"/>
              <a:r>
                <a:rPr lang="en-US" sz="1400">
                  <a:solidFill>
                    <a:schemeClr val="tx1"/>
                  </a:solidFill>
                </a:rPr>
                <a:t>        I lamp </a:t>
              </a:r>
              <a14:m>
                <m:oMath xmlns:m="http://schemas.openxmlformats.org/officeDocument/2006/math">
                  <m:r>
                    <a:rPr lang="en-US" sz="1400" i="1">
                      <a:solidFill>
                        <a:schemeClr val="tx1"/>
                      </a:solidFill>
                      <a:latin typeface="Cambria Math" panose="02040503050406030204" pitchFamily="18" charset="0"/>
                    </a:rPr>
                    <m:t>=</m:t>
                  </m:r>
                  <m:rad>
                    <m:radPr>
                      <m:degHide m:val="on"/>
                      <m:ctrlPr>
                        <a:rPr lang="en-US" sz="1400" i="1">
                          <a:solidFill>
                            <a:schemeClr val="tx1"/>
                          </a:solidFill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radPr>
                    <m:deg/>
                    <m:e>
                      <m:f>
                        <m:fPr>
                          <m:ctrlPr>
                            <a:rPr lang="en-US" sz="1400" i="1">
                              <a:solidFill>
                                <a:schemeClr val="tx1"/>
                              </a:solidFill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lang="en-US" sz="1400" b="0" i="1">
                              <a:solidFill>
                                <a:schemeClr val="tx1"/>
                              </a:solidFill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𝑉𝑏𝑎𝑡</m:t>
                          </m:r>
                        </m:num>
                        <m:den>
                          <m:r>
                            <a:rPr lang="en-US" sz="1400" b="0" i="1">
                              <a:solidFill>
                                <a:schemeClr val="tx1"/>
                              </a:solidFill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𝑉𝑟𝑒𝑓</m:t>
                          </m:r>
                        </m:den>
                      </m:f>
                    </m:e>
                  </m:rad>
                  <m:r>
                    <a:rPr lang="en-US" sz="1400" b="0" i="1">
                      <a:solidFill>
                        <a:schemeClr val="tx1"/>
                      </a:solidFill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∗</m:t>
                  </m:r>
                  <m:f>
                    <m:fPr>
                      <m:ctrlPr>
                        <a:rPr lang="en-US" sz="1400" b="0" i="1">
                          <a:solidFill>
                            <a:schemeClr val="tx1"/>
                          </a:solidFill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fPr>
                    <m:num>
                      <m:r>
                        <a:rPr lang="en-US" sz="1400" b="0" i="1">
                          <a:solidFill>
                            <a:schemeClr val="tx1"/>
                          </a:solidFill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𝑃𝑙𝑎𝑚𝑝</m:t>
                      </m:r>
                    </m:num>
                    <m:den>
                      <m:r>
                        <a:rPr lang="en-US" sz="1400" b="0" i="1">
                          <a:solidFill>
                            <a:schemeClr val="tx1"/>
                          </a:solidFill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𝑉𝑟𝑒𝑓</m:t>
                      </m:r>
                    </m:den>
                  </m:f>
                </m:oMath>
              </a14:m>
              <a:endParaRPr lang="en-US" sz="1400">
                <a:solidFill>
                  <a:schemeClr val="tx1"/>
                </a:solidFill>
              </a:endParaRPr>
            </a:p>
            <a:p>
              <a:endParaRPr lang="en-US" sz="1400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A1AFFD2E-DA08-41F9-A893-2B1A73C3545C}"/>
                </a:ext>
              </a:extLst>
            </xdr:cNvPr>
            <xdr:cNvSpPr txBox="1"/>
          </xdr:nvSpPr>
          <xdr:spPr>
            <a:xfrm>
              <a:off x="200025" y="733425"/>
              <a:ext cx="6743700" cy="461962"/>
            </a:xfrm>
            <a:prstGeom prst="rect">
              <a:avLst/>
            </a:prstGeom>
            <a:solidFill>
              <a:schemeClr val="accent1">
                <a:lumMod val="20000"/>
                <a:lumOff val="80000"/>
              </a:schemeClr>
            </a:solidFill>
            <a:ln>
              <a:solidFill>
                <a:srgbClr val="FF0000"/>
              </a:solidFill>
            </a:ln>
          </xdr:spPr>
          <xdr:txBody>
            <a:bodyPr wrap="square" lIns="0" tIns="0" rIns="0" bIns="0" rtlCol="0">
              <a:noAutofit/>
            </a:bodyPr>
            <a:lstStyle>
              <a:defPPr>
                <a:defRPr lang="fr-FR"/>
              </a:defPPr>
              <a:lvl1pPr marL="0" algn="l" defTabSz="1218987" rtl="0" eaLnBrk="1" latinLnBrk="0" hangingPunct="1">
                <a:defRPr sz="24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609493" algn="l" defTabSz="1218987" rtl="0" eaLnBrk="1" latinLnBrk="0" hangingPunct="1">
                <a:defRPr sz="24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1218987" algn="l" defTabSz="1218987" rtl="0" eaLnBrk="1" latinLnBrk="0" hangingPunct="1">
                <a:defRPr sz="24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828480" algn="l" defTabSz="1218987" rtl="0" eaLnBrk="1" latinLnBrk="0" hangingPunct="1">
                <a:defRPr sz="24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2437973" algn="l" defTabSz="1218987" rtl="0" eaLnBrk="1" latinLnBrk="0" hangingPunct="1">
                <a:defRPr sz="24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3047467" algn="l" defTabSz="1218987" rtl="0" eaLnBrk="1" latinLnBrk="0" hangingPunct="1">
                <a:defRPr sz="24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3656960" algn="l" defTabSz="1218987" rtl="0" eaLnBrk="1" latinLnBrk="0" hangingPunct="1">
                <a:defRPr sz="24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4266453" algn="l" defTabSz="1218987" rtl="0" eaLnBrk="1" latinLnBrk="0" hangingPunct="1">
                <a:defRPr sz="24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4875947" algn="l" defTabSz="1218987" rtl="0" eaLnBrk="1" latinLnBrk="0" hangingPunct="1">
                <a:defRPr sz="24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lvl="1"/>
              <a:r>
                <a:rPr lang="en-US" sz="1400">
                  <a:solidFill>
                    <a:schemeClr val="tx1"/>
                  </a:solidFill>
                </a:rPr>
                <a:t>        I lamp </a:t>
              </a:r>
              <a:r>
                <a:rPr lang="en-US" sz="1400" i="0">
                  <a:solidFill>
                    <a:schemeClr val="tx1"/>
                  </a:solidFill>
                  <a:latin typeface="Cambria Math" panose="02040503050406030204" pitchFamily="18" charset="0"/>
                </a:rPr>
                <a:t>=</a:t>
              </a:r>
              <a:r>
                <a:rPr lang="en-US" sz="1400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√(</a:t>
              </a:r>
              <a:r>
                <a:rPr lang="en-US" sz="1400" b="0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𝑉𝑏𝑎𝑡/𝑉𝑟𝑒𝑓)∗𝑃𝑙𝑎𝑚𝑝/𝑉𝑟𝑒𝑓</a:t>
              </a:r>
              <a:endParaRPr lang="en-US" sz="1400">
                <a:solidFill>
                  <a:schemeClr val="tx1"/>
                </a:solidFill>
              </a:endParaRPr>
            </a:p>
            <a:p>
              <a:endParaRPr lang="en-US" sz="1400">
                <a:solidFill>
                  <a:schemeClr val="tx1"/>
                </a:solidFill>
              </a:endParaRPr>
            </a:p>
          </xdr:txBody>
        </xdr:sp>
      </mc:Fallback>
    </mc:AlternateContent>
    <xdr:clientData/>
  </xdr:twoCellAnchor>
  <xdr:twoCellAnchor>
    <xdr:from>
      <xdr:col>2</xdr:col>
      <xdr:colOff>200026</xdr:colOff>
      <xdr:row>6</xdr:row>
      <xdr:rowOff>160523</xdr:rowOff>
    </xdr:from>
    <xdr:to>
      <xdr:col>15</xdr:col>
      <xdr:colOff>0</xdr:colOff>
      <xdr:row>8</xdr:row>
      <xdr:rowOff>179574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4">
              <a:extLst>
                <a:ext uri="{FF2B5EF4-FFF2-40B4-BE49-F238E27FC236}">
                  <a16:creationId xmlns:a16="http://schemas.microsoft.com/office/drawing/2014/main" id="{4D540200-FAC3-4FEB-9113-492ED288EBF7}"/>
                </a:ext>
              </a:extLst>
            </xdr:cNvPr>
            <xdr:cNvSpPr txBox="1"/>
          </xdr:nvSpPr>
          <xdr:spPr>
            <a:xfrm>
              <a:off x="200026" y="1303523"/>
              <a:ext cx="6743700" cy="400051"/>
            </a:xfrm>
            <a:prstGeom prst="rect">
              <a:avLst/>
            </a:prstGeom>
            <a:solidFill>
              <a:schemeClr val="accent1">
                <a:lumMod val="20000"/>
                <a:lumOff val="80000"/>
              </a:schemeClr>
            </a:solidFill>
            <a:ln>
              <a:solidFill>
                <a:srgbClr val="FF0000"/>
              </a:solidFill>
            </a:ln>
          </xdr:spPr>
          <xdr:txBody>
            <a:bodyPr wrap="square" lIns="0" tIns="0" rIns="0" bIns="0" rtlCol="0" anchor="ctr">
              <a:no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lvl="2"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r>
                      <a:rPr lang="en-US" sz="1400" b="0" i="1">
                        <a:latin typeface="Cambria Math" panose="02040503050406030204" pitchFamily="18" charset="0"/>
                      </a:rPr>
                      <m:t>𝑇𝑗</m:t>
                    </m:r>
                    <m:r>
                      <a:rPr lang="en-US" sz="14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n-US" sz="1400" b="0" i="1">
                        <a:latin typeface="Cambria Math" panose="02040503050406030204" pitchFamily="18" charset="0"/>
                      </a:rPr>
                      <m:t>𝑇𝑎</m:t>
                    </m:r>
                    <m:r>
                      <a:rPr lang="en-US" sz="1400" b="0" i="1">
                        <a:latin typeface="Cambria Math" panose="02040503050406030204" pitchFamily="18" charset="0"/>
                      </a:rPr>
                      <m:t>+</m:t>
                    </m:r>
                    <m:d>
                      <m:dPr>
                        <m:ctrlPr>
                          <a:rPr lang="en-US" sz="14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sSup>
                          <m:sSupPr>
                            <m:ctrlPr>
                              <a:rPr lang="en-US" sz="1400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en-US" sz="1400" b="0" i="1">
                                <a:latin typeface="Cambria Math" panose="02040503050406030204" pitchFamily="18" charset="0"/>
                              </a:rPr>
                              <m:t>𝐼</m:t>
                            </m:r>
                            <m:r>
                              <a:rPr lang="en-US" sz="1400" b="0" i="1">
                                <a:latin typeface="Cambria Math" panose="02040503050406030204" pitchFamily="18" charset="0"/>
                              </a:rPr>
                              <m:t>1</m:t>
                            </m:r>
                          </m:e>
                          <m:sup>
                            <m:r>
                              <a:rPr lang="en-US" sz="1400" b="0" i="1">
                                <a:latin typeface="Cambria Math" panose="02040503050406030204" pitchFamily="18" charset="0"/>
                              </a:rPr>
                              <m:t>2</m:t>
                            </m:r>
                          </m:sup>
                        </m:sSup>
                        <m:r>
                          <a:rPr lang="en-US" sz="1400" b="0" i="1">
                            <a:latin typeface="Cambria Math" panose="02040503050406030204" pitchFamily="18" charset="0"/>
                          </a:rPr>
                          <m:t>𝑅𝑑𝑠𝑜</m:t>
                        </m:r>
                        <m:sSub>
                          <m:sSubPr>
                            <m:ctrlPr>
                              <a:rPr lang="en-US" sz="14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400" b="0" i="1">
                                <a:latin typeface="Cambria Math" panose="02040503050406030204" pitchFamily="18" charset="0"/>
                              </a:rPr>
                              <m:t>𝑛</m:t>
                            </m:r>
                          </m:e>
                          <m:sub>
                            <m:r>
                              <a:rPr lang="en-US" sz="1400" b="0" i="1">
                                <a:latin typeface="Cambria Math" panose="02040503050406030204" pitchFamily="18" charset="0"/>
                              </a:rPr>
                              <m:t>1</m:t>
                            </m:r>
                          </m:sub>
                        </m:sSub>
                        <m:r>
                          <a:rPr lang="en-US" sz="1400" b="0" i="1">
                            <a:latin typeface="Cambria Math" panose="02040503050406030204" pitchFamily="18" charset="0"/>
                          </a:rPr>
                          <m:t>+</m:t>
                        </m:r>
                        <m:sSup>
                          <m:sSupPr>
                            <m:ctrlPr>
                              <a:rPr lang="en-US" sz="140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en-US" sz="1400" i="1">
                                <a:latin typeface="Cambria Math" panose="02040503050406030204" pitchFamily="18" charset="0"/>
                              </a:rPr>
                              <m:t>𝐼</m:t>
                            </m:r>
                            <m:r>
                              <a:rPr lang="en-US" sz="1400" b="0" i="1">
                                <a:latin typeface="Cambria Math" panose="02040503050406030204" pitchFamily="18" charset="0"/>
                              </a:rPr>
                              <m:t>2</m:t>
                            </m:r>
                          </m:e>
                          <m:sup>
                            <m:r>
                              <a:rPr lang="en-US" sz="1400" i="1">
                                <a:latin typeface="Cambria Math" panose="02040503050406030204" pitchFamily="18" charset="0"/>
                              </a:rPr>
                              <m:t>2</m:t>
                            </m:r>
                          </m:sup>
                        </m:sSup>
                        <m:r>
                          <a:rPr lang="en-US" sz="1400" i="1">
                            <a:latin typeface="Cambria Math" panose="02040503050406030204" pitchFamily="18" charset="0"/>
                          </a:rPr>
                          <m:t>𝑅𝑑𝑠𝑜</m:t>
                        </m:r>
                        <m:sSub>
                          <m:sSubPr>
                            <m:ctrlPr>
                              <a:rPr lang="en-US" sz="14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400" i="1">
                                <a:latin typeface="Cambria Math" panose="02040503050406030204" pitchFamily="18" charset="0"/>
                              </a:rPr>
                              <m:t>𝑛</m:t>
                            </m:r>
                          </m:e>
                          <m:sub>
                            <m:r>
                              <a:rPr lang="en-US" sz="1400" b="0" i="1">
                                <a:latin typeface="Cambria Math" panose="02040503050406030204" pitchFamily="18" charset="0"/>
                              </a:rPr>
                              <m:t>2</m:t>
                            </m:r>
                          </m:sub>
                        </m:sSub>
                        <m:r>
                          <a:rPr lang="en-US" sz="1400" b="0" i="1">
                            <a:latin typeface="Cambria Math" panose="02040503050406030204" pitchFamily="18" charset="0"/>
                          </a:rPr>
                          <m:t>+ …+</m:t>
                        </m:r>
                        <m:sSup>
                          <m:sSupPr>
                            <m:ctrlPr>
                              <a:rPr lang="en-US" sz="140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en-US" sz="1400" i="1">
                                <a:latin typeface="Cambria Math" panose="02040503050406030204" pitchFamily="18" charset="0"/>
                              </a:rPr>
                              <m:t>𝐼</m:t>
                            </m:r>
                            <m:r>
                              <a:rPr lang="en-US" sz="1400" b="0" i="1">
                                <a:latin typeface="Cambria Math" panose="02040503050406030204" pitchFamily="18" charset="0"/>
                              </a:rPr>
                              <m:t>𝑛</m:t>
                            </m:r>
                          </m:e>
                          <m:sup>
                            <m:r>
                              <a:rPr lang="en-US" sz="1400" i="1">
                                <a:latin typeface="Cambria Math" panose="02040503050406030204" pitchFamily="18" charset="0"/>
                              </a:rPr>
                              <m:t>2</m:t>
                            </m:r>
                          </m:sup>
                        </m:sSup>
                        <m:r>
                          <a:rPr lang="en-US" sz="1400" i="1">
                            <a:latin typeface="Cambria Math" panose="02040503050406030204" pitchFamily="18" charset="0"/>
                          </a:rPr>
                          <m:t>𝑅𝑑𝑠𝑜</m:t>
                        </m:r>
                        <m:sSub>
                          <m:sSubPr>
                            <m:ctrlPr>
                              <a:rPr lang="en-US" sz="14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400" i="1">
                                <a:latin typeface="Cambria Math" panose="02040503050406030204" pitchFamily="18" charset="0"/>
                              </a:rPr>
                              <m:t>𝑛</m:t>
                            </m:r>
                          </m:e>
                          <m:sub>
                            <m:r>
                              <a:rPr lang="en-US" sz="1400" b="0" i="1">
                                <a:latin typeface="Cambria Math" panose="02040503050406030204" pitchFamily="18" charset="0"/>
                              </a:rPr>
                              <m:t>𝑛</m:t>
                            </m:r>
                          </m:sub>
                        </m:sSub>
                      </m:e>
                    </m:d>
                    <m:r>
                      <a:rPr lang="en-US" sz="1400" b="0" i="1">
                        <a:latin typeface="Cambria Math" panose="02040503050406030204" pitchFamily="18" charset="0"/>
                      </a:rPr>
                      <m:t>∗</m:t>
                    </m:r>
                    <m:r>
                      <a:rPr lang="en-US" sz="1400" b="0" i="1">
                        <a:latin typeface="Cambria Math" panose="02040503050406030204" pitchFamily="18" charset="0"/>
                      </a:rPr>
                      <m:t>𝑅𝑡h𝑗𝑎</m:t>
                    </m:r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3" name="TextBox 4">
              <a:extLst>
                <a:ext uri="{FF2B5EF4-FFF2-40B4-BE49-F238E27FC236}">
                  <a16:creationId xmlns:a16="http://schemas.microsoft.com/office/drawing/2014/main" id="{4D540200-FAC3-4FEB-9113-492ED288EBF7}"/>
                </a:ext>
              </a:extLst>
            </xdr:cNvPr>
            <xdr:cNvSpPr txBox="1"/>
          </xdr:nvSpPr>
          <xdr:spPr>
            <a:xfrm>
              <a:off x="200026" y="1303523"/>
              <a:ext cx="6743700" cy="400051"/>
            </a:xfrm>
            <a:prstGeom prst="rect">
              <a:avLst/>
            </a:prstGeom>
            <a:solidFill>
              <a:schemeClr val="accent1">
                <a:lumMod val="20000"/>
                <a:lumOff val="80000"/>
              </a:schemeClr>
            </a:solidFill>
            <a:ln>
              <a:solidFill>
                <a:srgbClr val="FF0000"/>
              </a:solidFill>
            </a:ln>
          </xdr:spPr>
          <xdr:txBody>
            <a:bodyPr wrap="square" lIns="0" tIns="0" rIns="0" bIns="0" rtlCol="0" anchor="ctr">
              <a:no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lvl="2"/>
              <a:r>
                <a:rPr lang="en-US" sz="1400" b="0" i="0">
                  <a:latin typeface="Cambria Math" panose="02040503050406030204" pitchFamily="18" charset="0"/>
                </a:rPr>
                <a:t>𝑇𝑗=𝑇𝑎+(〖𝐼1〗^2 𝑅𝑑𝑠𝑜𝑛_1+〖</a:t>
              </a:r>
              <a:r>
                <a:rPr lang="en-US" sz="1400" i="0">
                  <a:latin typeface="Cambria Math" panose="02040503050406030204" pitchFamily="18" charset="0"/>
                </a:rPr>
                <a:t>𝐼</a:t>
              </a:r>
              <a:r>
                <a:rPr lang="en-US" sz="1400" b="0" i="0">
                  <a:latin typeface="Cambria Math" panose="02040503050406030204" pitchFamily="18" charset="0"/>
                </a:rPr>
                <a:t>2〗^</a:t>
              </a:r>
              <a:r>
                <a:rPr lang="en-US" sz="1400" i="0">
                  <a:latin typeface="Cambria Math" panose="02040503050406030204" pitchFamily="18" charset="0"/>
                </a:rPr>
                <a:t>2 𝑅𝑑𝑠𝑜𝑛</a:t>
              </a:r>
              <a:r>
                <a:rPr lang="en-US" sz="1400" b="0" i="0">
                  <a:latin typeface="Cambria Math" panose="02040503050406030204" pitchFamily="18" charset="0"/>
                </a:rPr>
                <a:t>_2+ …+〖</a:t>
              </a:r>
              <a:r>
                <a:rPr lang="en-US" sz="1400" i="0">
                  <a:latin typeface="Cambria Math" panose="02040503050406030204" pitchFamily="18" charset="0"/>
                </a:rPr>
                <a:t>𝐼</a:t>
              </a:r>
              <a:r>
                <a:rPr lang="en-US" sz="1400" b="0" i="0">
                  <a:latin typeface="Cambria Math" panose="02040503050406030204" pitchFamily="18" charset="0"/>
                </a:rPr>
                <a:t>𝑛〗^</a:t>
              </a:r>
              <a:r>
                <a:rPr lang="en-US" sz="1400" i="0">
                  <a:latin typeface="Cambria Math" panose="02040503050406030204" pitchFamily="18" charset="0"/>
                </a:rPr>
                <a:t>2 𝑅𝑑𝑠𝑜𝑛</a:t>
              </a:r>
              <a:r>
                <a:rPr lang="en-US" sz="1400" b="0" i="0">
                  <a:latin typeface="Cambria Math" panose="02040503050406030204" pitchFamily="18" charset="0"/>
                </a:rPr>
                <a:t>_𝑛 )∗𝑅𝑡ℎ𝑗𝑎</a:t>
              </a:r>
              <a:endParaRPr lang="en-US" sz="1400"/>
            </a:p>
          </xdr:txBody>
        </xdr:sp>
      </mc:Fallback>
    </mc:AlternateContent>
    <xdr:clientData/>
  </xdr:twoCellAnchor>
  <xdr:twoCellAnchor>
    <xdr:from>
      <xdr:col>0</xdr:col>
      <xdr:colOff>784411</xdr:colOff>
      <xdr:row>53</xdr:row>
      <xdr:rowOff>183160</xdr:rowOff>
    </xdr:from>
    <xdr:to>
      <xdr:col>4</xdr:col>
      <xdr:colOff>604631</xdr:colOff>
      <xdr:row>56</xdr:row>
      <xdr:rowOff>17052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BCFE8C7E-64F3-47F5-AD47-8FD16C76D3AB}"/>
                </a:ext>
              </a:extLst>
            </xdr:cNvPr>
            <xdr:cNvSpPr txBox="1"/>
          </xdr:nvSpPr>
          <xdr:spPr>
            <a:xfrm>
              <a:off x="784411" y="10586117"/>
              <a:ext cx="2694285" cy="405392"/>
            </a:xfrm>
            <a:prstGeom prst="rect">
              <a:avLst/>
            </a:prstGeom>
            <a:solidFill>
              <a:schemeClr val="accent1">
                <a:lumMod val="20000"/>
                <a:lumOff val="80000"/>
              </a:schemeClr>
            </a:solidFill>
            <a:ln>
              <a:solidFill>
                <a:srgbClr val="FF0000"/>
              </a:solidFill>
            </a:ln>
          </xdr:spPr>
          <xdr:txBody>
            <a:bodyPr wrap="square" lIns="0" tIns="0" rIns="0" bIns="0" rtlCol="0">
              <a:noAutofit/>
            </a:bodyPr>
            <a:lstStyle>
              <a:defPPr>
                <a:defRPr lang="fr-FR"/>
              </a:defPPr>
              <a:lvl1pPr marL="0" algn="l" defTabSz="1218987" rtl="0" eaLnBrk="1" latinLnBrk="0" hangingPunct="1">
                <a:defRPr sz="24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609493" algn="l" defTabSz="1218987" rtl="0" eaLnBrk="1" latinLnBrk="0" hangingPunct="1">
                <a:defRPr sz="24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1218987" algn="l" defTabSz="1218987" rtl="0" eaLnBrk="1" latinLnBrk="0" hangingPunct="1">
                <a:defRPr sz="24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828480" algn="l" defTabSz="1218987" rtl="0" eaLnBrk="1" latinLnBrk="0" hangingPunct="1">
                <a:defRPr sz="24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2437973" algn="l" defTabSz="1218987" rtl="0" eaLnBrk="1" latinLnBrk="0" hangingPunct="1">
                <a:defRPr sz="24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3047467" algn="l" defTabSz="1218987" rtl="0" eaLnBrk="1" latinLnBrk="0" hangingPunct="1">
                <a:defRPr sz="24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3656960" algn="l" defTabSz="1218987" rtl="0" eaLnBrk="1" latinLnBrk="0" hangingPunct="1">
                <a:defRPr sz="24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4266453" algn="l" defTabSz="1218987" rtl="0" eaLnBrk="1" latinLnBrk="0" hangingPunct="1">
                <a:defRPr sz="24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4875947" algn="l" defTabSz="1218987" rtl="0" eaLnBrk="1" latinLnBrk="0" hangingPunct="1">
                <a:defRPr sz="24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lvl="1" algn="l"/>
              <a:r>
                <a:rPr lang="en-US" sz="1400" b="0" i="1">
                  <a:solidFill>
                    <a:schemeClr val="tx1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I lamp </a:t>
              </a:r>
              <a14:m>
                <m:oMath xmlns:m="http://schemas.openxmlformats.org/officeDocument/2006/math">
                  <m:r>
                    <a:rPr lang="en-US" sz="1400" b="0" i="1">
                      <a:solidFill>
                        <a:schemeClr val="tx1"/>
                      </a:solidFill>
                      <a:latin typeface="Cambria Math" panose="02040503050406030204" pitchFamily="18" charset="0"/>
                    </a:rPr>
                    <m:t>=</m:t>
                  </m:r>
                  <m:sSup>
                    <m:sSupPr>
                      <m:ctrlPr>
                        <a:rPr lang="en-US" sz="1400" b="0" i="1" kern="1200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pPr>
                    <m:e>
                      <m:d>
                        <m:dPr>
                          <m:ctrlPr>
                            <a:rPr lang="en-US" sz="1400" b="0" i="1" kern="1200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dPr>
                        <m:e>
                          <m:f>
                            <m:fPr>
                              <m:ctrlPr>
                                <a:rPr lang="en-US" sz="1400" b="0" i="1" kern="1200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fPr>
                            <m:num>
                              <m:r>
                                <a:rPr lang="en-US" sz="1400" b="0" i="1" kern="1200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𝑉𝑏𝑎𝑡</m:t>
                              </m:r>
                            </m:num>
                            <m:den>
                              <m:r>
                                <a:rPr lang="en-US" sz="1400" b="0" i="1" kern="1200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𝑉𝑟𝑒𝑓</m:t>
                              </m:r>
                            </m:den>
                          </m:f>
                        </m:e>
                      </m:d>
                    </m:e>
                    <m:sup>
                      <m:r>
                        <a:rPr lang="en-US" sz="1400" b="0" i="1" kern="1200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0.55</m:t>
                      </m:r>
                    </m:sup>
                  </m:sSup>
                  <m:r>
                    <a:rPr lang="en-US" sz="1400" b="0" i="1" kern="1200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∗</m:t>
                  </m:r>
                  <m:f>
                    <m:fPr>
                      <m:ctrlPr>
                        <a:rPr lang="en-US" sz="1400" b="0" i="1">
                          <a:solidFill>
                            <a:schemeClr val="tx1"/>
                          </a:solidFill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fPr>
                    <m:num>
                      <m:r>
                        <a:rPr lang="en-US" sz="1400" b="0" i="1">
                          <a:solidFill>
                            <a:schemeClr val="tx1"/>
                          </a:solidFill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𝑃𝑙𝑎𝑚𝑝</m:t>
                      </m:r>
                    </m:num>
                    <m:den>
                      <m:r>
                        <a:rPr lang="en-US" sz="1400" b="0" i="1">
                          <a:solidFill>
                            <a:schemeClr val="tx1"/>
                          </a:solidFill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𝑉𝑟𝑒𝑓</m:t>
                      </m:r>
                    </m:den>
                  </m:f>
                </m:oMath>
              </a14:m>
              <a:endParaRPr lang="en-US" sz="1600" b="0" i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  <a:p>
              <a:pPr algn="l"/>
              <a:endParaRPr lang="en-US" sz="1400" b="0" i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Choice>
      <mc:Fallback xmlns="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BCFE8C7E-64F3-47F5-AD47-8FD16C76D3AB}"/>
                </a:ext>
              </a:extLst>
            </xdr:cNvPr>
            <xdr:cNvSpPr txBox="1"/>
          </xdr:nvSpPr>
          <xdr:spPr>
            <a:xfrm>
              <a:off x="784411" y="10586117"/>
              <a:ext cx="2694285" cy="405392"/>
            </a:xfrm>
            <a:prstGeom prst="rect">
              <a:avLst/>
            </a:prstGeom>
            <a:solidFill>
              <a:schemeClr val="accent1">
                <a:lumMod val="20000"/>
                <a:lumOff val="80000"/>
              </a:schemeClr>
            </a:solidFill>
            <a:ln>
              <a:solidFill>
                <a:srgbClr val="FF0000"/>
              </a:solidFill>
            </a:ln>
          </xdr:spPr>
          <xdr:txBody>
            <a:bodyPr wrap="square" lIns="0" tIns="0" rIns="0" bIns="0" rtlCol="0">
              <a:noAutofit/>
            </a:bodyPr>
            <a:lstStyle>
              <a:defPPr>
                <a:defRPr lang="fr-FR"/>
              </a:defPPr>
              <a:lvl1pPr marL="0" algn="l" defTabSz="1218987" rtl="0" eaLnBrk="1" latinLnBrk="0" hangingPunct="1">
                <a:defRPr sz="24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609493" algn="l" defTabSz="1218987" rtl="0" eaLnBrk="1" latinLnBrk="0" hangingPunct="1">
                <a:defRPr sz="24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1218987" algn="l" defTabSz="1218987" rtl="0" eaLnBrk="1" latinLnBrk="0" hangingPunct="1">
                <a:defRPr sz="24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828480" algn="l" defTabSz="1218987" rtl="0" eaLnBrk="1" latinLnBrk="0" hangingPunct="1">
                <a:defRPr sz="24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2437973" algn="l" defTabSz="1218987" rtl="0" eaLnBrk="1" latinLnBrk="0" hangingPunct="1">
                <a:defRPr sz="24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3047467" algn="l" defTabSz="1218987" rtl="0" eaLnBrk="1" latinLnBrk="0" hangingPunct="1">
                <a:defRPr sz="24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3656960" algn="l" defTabSz="1218987" rtl="0" eaLnBrk="1" latinLnBrk="0" hangingPunct="1">
                <a:defRPr sz="24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4266453" algn="l" defTabSz="1218987" rtl="0" eaLnBrk="1" latinLnBrk="0" hangingPunct="1">
                <a:defRPr sz="24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4875947" algn="l" defTabSz="1218987" rtl="0" eaLnBrk="1" latinLnBrk="0" hangingPunct="1">
                <a:defRPr sz="24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lvl="1" algn="l"/>
              <a:r>
                <a:rPr lang="en-US" sz="1400" b="0" i="1">
                  <a:solidFill>
                    <a:schemeClr val="tx1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I lamp </a:t>
              </a:r>
              <a:r>
                <a:rPr lang="en-US" sz="1400" b="0" i="0">
                  <a:solidFill>
                    <a:schemeClr val="tx1"/>
                  </a:solidFill>
                  <a:latin typeface="Cambria Math" panose="02040503050406030204" pitchFamily="18" charset="0"/>
                </a:rPr>
                <a:t>=</a:t>
              </a:r>
              <a:r>
                <a:rPr lang="en-US" sz="1400" b="0" i="0" kern="12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(𝑉𝑏𝑎𝑡/𝑉𝑟𝑒𝑓)^0.55∗</a:t>
              </a:r>
              <a:r>
                <a:rPr lang="en-US" sz="1400" b="0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𝑃𝑙𝑎𝑚𝑝/𝑉𝑟𝑒𝑓</a:t>
              </a:r>
              <a:endParaRPr lang="en-US" sz="1600" b="0" i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  <a:p>
              <a:pPr algn="l"/>
              <a:endParaRPr lang="en-US" sz="1400" b="0" i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Fallback>
    </mc:AlternateContent>
    <xdr:clientData/>
  </xdr:twoCellAnchor>
  <xdr:twoCellAnchor>
    <xdr:from>
      <xdr:col>0</xdr:col>
      <xdr:colOff>776127</xdr:colOff>
      <xdr:row>56</xdr:row>
      <xdr:rowOff>187577</xdr:rowOff>
    </xdr:from>
    <xdr:to>
      <xdr:col>8</xdr:col>
      <xdr:colOff>207065</xdr:colOff>
      <xdr:row>59</xdr:row>
      <xdr:rowOff>77954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ED6031C3-0089-423B-88C2-4641FB07016C}"/>
                </a:ext>
              </a:extLst>
            </xdr:cNvPr>
            <xdr:cNvSpPr txBox="1"/>
          </xdr:nvSpPr>
          <xdr:spPr>
            <a:xfrm>
              <a:off x="776127" y="11162034"/>
              <a:ext cx="5435829" cy="461877"/>
            </a:xfrm>
            <a:prstGeom prst="rect">
              <a:avLst/>
            </a:prstGeom>
            <a:solidFill>
              <a:schemeClr val="accent1">
                <a:lumMod val="20000"/>
                <a:lumOff val="80000"/>
              </a:schemeClr>
            </a:solidFill>
            <a:ln>
              <a:solidFill>
                <a:srgbClr val="FF0000"/>
              </a:solidFill>
            </a:ln>
          </xdr:spPr>
          <xdr:txBody>
            <a:bodyPr wrap="square" lIns="0" tIns="0" rIns="0" bIns="0" rtlCol="0" anchor="ctr">
              <a:no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lvl="2"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r>
                      <a:rPr lang="en-US" sz="1200" b="0" i="1">
                        <a:latin typeface="Cambria Math" panose="02040503050406030204" pitchFamily="18" charset="0"/>
                      </a:rPr>
                      <m:t>𝑇</m:t>
                    </m:r>
                    <m:r>
                      <m:rPr>
                        <m:sty m:val="p"/>
                      </m:rPr>
                      <a:rPr lang="en-US" altLang="zh-CN" sz="1200" b="0" i="1">
                        <a:latin typeface="Cambria Math" panose="02040503050406030204" pitchFamily="18" charset="0"/>
                      </a:rPr>
                      <m:t>j</m:t>
                    </m:r>
                    <m:r>
                      <a:rPr lang="en-US" sz="12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n-US" sz="1200" b="0" i="1">
                        <a:latin typeface="Cambria Math" panose="02040503050406030204" pitchFamily="18" charset="0"/>
                      </a:rPr>
                      <m:t>𝑇𝑎</m:t>
                    </m:r>
                    <m:r>
                      <a:rPr lang="en-US" sz="1200" b="0" i="1">
                        <a:latin typeface="Cambria Math" panose="02040503050406030204" pitchFamily="18" charset="0"/>
                      </a:rPr>
                      <m:t>+</m:t>
                    </m:r>
                    <m:d>
                      <m:dPr>
                        <m:ctrlPr>
                          <a:rPr lang="en-US" sz="12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sSup>
                          <m:sSupPr>
                            <m:ctrlPr>
                              <a:rPr lang="en-US" sz="1200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en-US" sz="1200" b="0" i="1">
                                <a:latin typeface="Cambria Math" panose="02040503050406030204" pitchFamily="18" charset="0"/>
                              </a:rPr>
                              <m:t>𝐼</m:t>
                            </m:r>
                            <m:r>
                              <a:rPr lang="en-US" sz="1200" b="0" i="1">
                                <a:latin typeface="Cambria Math" panose="02040503050406030204" pitchFamily="18" charset="0"/>
                              </a:rPr>
                              <m:t>1</m:t>
                            </m:r>
                          </m:e>
                          <m:sup>
                            <m:r>
                              <a:rPr lang="en-US" sz="1200" b="0" i="1">
                                <a:latin typeface="Cambria Math" panose="02040503050406030204" pitchFamily="18" charset="0"/>
                              </a:rPr>
                              <m:t>2</m:t>
                            </m:r>
                          </m:sup>
                        </m:sSup>
                        <m:r>
                          <a:rPr lang="en-US" sz="1200" b="0" i="1">
                            <a:latin typeface="Cambria Math" panose="02040503050406030204" pitchFamily="18" charset="0"/>
                          </a:rPr>
                          <m:t>𝑅𝑑𝑠𝑜</m:t>
                        </m:r>
                        <m:sSub>
                          <m:sSubPr>
                            <m:ctrlPr>
                              <a:rPr lang="en-US" sz="12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200" b="0" i="1">
                                <a:latin typeface="Cambria Math" panose="02040503050406030204" pitchFamily="18" charset="0"/>
                              </a:rPr>
                              <m:t>𝑛</m:t>
                            </m:r>
                          </m:e>
                          <m:sub>
                            <m:r>
                              <a:rPr lang="en-US" sz="1200" b="0" i="1">
                                <a:latin typeface="Cambria Math" panose="02040503050406030204" pitchFamily="18" charset="0"/>
                              </a:rPr>
                              <m:t>1</m:t>
                            </m:r>
                          </m:sub>
                        </m:sSub>
                        <m:r>
                          <a:rPr lang="en-US" sz="1200" b="0" i="1">
                            <a:latin typeface="Cambria Math" panose="02040503050406030204" pitchFamily="18" charset="0"/>
                          </a:rPr>
                          <m:t>+</m:t>
                        </m:r>
                        <m:sSup>
                          <m:sSupPr>
                            <m:ctrlPr>
                              <a:rPr lang="en-US" sz="120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en-US" sz="1200" i="1">
                                <a:latin typeface="Cambria Math" panose="02040503050406030204" pitchFamily="18" charset="0"/>
                              </a:rPr>
                              <m:t>𝐼</m:t>
                            </m:r>
                            <m:r>
                              <a:rPr lang="en-US" sz="1200" b="0" i="1">
                                <a:latin typeface="Cambria Math" panose="02040503050406030204" pitchFamily="18" charset="0"/>
                              </a:rPr>
                              <m:t>2</m:t>
                            </m:r>
                          </m:e>
                          <m:sup>
                            <m:r>
                              <a:rPr lang="en-US" sz="1200" i="1">
                                <a:latin typeface="Cambria Math" panose="02040503050406030204" pitchFamily="18" charset="0"/>
                              </a:rPr>
                              <m:t>2</m:t>
                            </m:r>
                          </m:sup>
                        </m:sSup>
                        <m:r>
                          <a:rPr lang="en-US" sz="1200" i="1">
                            <a:latin typeface="Cambria Math" panose="02040503050406030204" pitchFamily="18" charset="0"/>
                          </a:rPr>
                          <m:t>𝑅𝑑𝑠𝑜</m:t>
                        </m:r>
                        <m:sSub>
                          <m:sSubPr>
                            <m:ctrlPr>
                              <a:rPr lang="en-US" sz="12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200" i="1">
                                <a:latin typeface="Cambria Math" panose="02040503050406030204" pitchFamily="18" charset="0"/>
                              </a:rPr>
                              <m:t>𝑛</m:t>
                            </m:r>
                          </m:e>
                          <m:sub>
                            <m:r>
                              <a:rPr lang="en-US" sz="1200" b="0" i="1">
                                <a:latin typeface="Cambria Math" panose="02040503050406030204" pitchFamily="18" charset="0"/>
                              </a:rPr>
                              <m:t>2</m:t>
                            </m:r>
                          </m:sub>
                        </m:sSub>
                        <m:r>
                          <a:rPr lang="en-US" sz="1200" b="0" i="1">
                            <a:latin typeface="Cambria Math" panose="02040503050406030204" pitchFamily="18" charset="0"/>
                          </a:rPr>
                          <m:t>+ …+</m:t>
                        </m:r>
                        <m:sSup>
                          <m:sSupPr>
                            <m:ctrlPr>
                              <a:rPr lang="en-US" sz="120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en-US" sz="1200" i="1">
                                <a:latin typeface="Cambria Math" panose="02040503050406030204" pitchFamily="18" charset="0"/>
                              </a:rPr>
                              <m:t>𝐼</m:t>
                            </m:r>
                            <m:r>
                              <a:rPr lang="en-US" sz="1200" b="0" i="1">
                                <a:latin typeface="Cambria Math" panose="02040503050406030204" pitchFamily="18" charset="0"/>
                              </a:rPr>
                              <m:t>𝑛</m:t>
                            </m:r>
                          </m:e>
                          <m:sup>
                            <m:r>
                              <a:rPr lang="en-US" sz="1200" i="1">
                                <a:latin typeface="Cambria Math" panose="02040503050406030204" pitchFamily="18" charset="0"/>
                              </a:rPr>
                              <m:t>2</m:t>
                            </m:r>
                          </m:sup>
                        </m:sSup>
                        <m:r>
                          <a:rPr lang="en-US" sz="1200" i="1">
                            <a:latin typeface="Cambria Math" panose="02040503050406030204" pitchFamily="18" charset="0"/>
                          </a:rPr>
                          <m:t>𝑅𝑑𝑠𝑜</m:t>
                        </m:r>
                        <m:sSub>
                          <m:sSubPr>
                            <m:ctrlPr>
                              <a:rPr lang="en-US" sz="12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200" i="1">
                                <a:latin typeface="Cambria Math" panose="02040503050406030204" pitchFamily="18" charset="0"/>
                              </a:rPr>
                              <m:t>𝑛</m:t>
                            </m:r>
                          </m:e>
                          <m:sub>
                            <m:r>
                              <a:rPr lang="en-US" sz="1200" b="0" i="1">
                                <a:latin typeface="Cambria Math" panose="02040503050406030204" pitchFamily="18" charset="0"/>
                              </a:rPr>
                              <m:t>𝑛</m:t>
                            </m:r>
                          </m:sub>
                        </m:sSub>
                      </m:e>
                    </m:d>
                    <m:r>
                      <a:rPr lang="en-US" sz="1200" b="0" i="1">
                        <a:latin typeface="Cambria Math" panose="02040503050406030204" pitchFamily="18" charset="0"/>
                      </a:rPr>
                      <m:t>∗</m:t>
                    </m:r>
                    <m:r>
                      <a:rPr lang="en-US" sz="1200" b="0" i="1">
                        <a:latin typeface="Cambria Math" panose="02040503050406030204" pitchFamily="18" charset="0"/>
                      </a:rPr>
                      <m:t>𝑅𝑡h𝑗𝑎</m:t>
                    </m:r>
                  </m:oMath>
                </m:oMathPara>
              </a14:m>
              <a:endParaRPr lang="en-US" sz="1200"/>
            </a:p>
          </xdr:txBody>
        </xdr:sp>
      </mc:Choice>
      <mc:Fallback xmlns="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ED6031C3-0089-423B-88C2-4641FB07016C}"/>
                </a:ext>
              </a:extLst>
            </xdr:cNvPr>
            <xdr:cNvSpPr txBox="1"/>
          </xdr:nvSpPr>
          <xdr:spPr>
            <a:xfrm>
              <a:off x="776127" y="11162034"/>
              <a:ext cx="5435829" cy="461877"/>
            </a:xfrm>
            <a:prstGeom prst="rect">
              <a:avLst/>
            </a:prstGeom>
            <a:solidFill>
              <a:schemeClr val="accent1">
                <a:lumMod val="20000"/>
                <a:lumOff val="80000"/>
              </a:schemeClr>
            </a:solidFill>
            <a:ln>
              <a:solidFill>
                <a:srgbClr val="FF0000"/>
              </a:solidFill>
            </a:ln>
          </xdr:spPr>
          <xdr:txBody>
            <a:bodyPr wrap="square" lIns="0" tIns="0" rIns="0" bIns="0" rtlCol="0" anchor="ctr">
              <a:no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lvl="2"/>
              <a:r>
                <a:rPr lang="en-US" sz="1200" b="0" i="0">
                  <a:latin typeface="Cambria Math" panose="02040503050406030204" pitchFamily="18" charset="0"/>
                </a:rPr>
                <a:t>𝑇</a:t>
              </a:r>
              <a:r>
                <a:rPr lang="en-US" altLang="zh-CN" sz="1200" b="0" i="0">
                  <a:latin typeface="Cambria Math" panose="02040503050406030204" pitchFamily="18" charset="0"/>
                </a:rPr>
                <a:t>j</a:t>
              </a:r>
              <a:r>
                <a:rPr lang="en-US" sz="1200" b="0" i="0">
                  <a:latin typeface="Cambria Math" panose="02040503050406030204" pitchFamily="18" charset="0"/>
                </a:rPr>
                <a:t>=𝑇𝑎+(〖𝐼1〗^2 𝑅𝑑𝑠𝑜𝑛_1+〖</a:t>
              </a:r>
              <a:r>
                <a:rPr lang="en-US" sz="1200" i="0">
                  <a:latin typeface="Cambria Math" panose="02040503050406030204" pitchFamily="18" charset="0"/>
                </a:rPr>
                <a:t>𝐼</a:t>
              </a:r>
              <a:r>
                <a:rPr lang="en-US" sz="1200" b="0" i="0">
                  <a:latin typeface="Cambria Math" panose="02040503050406030204" pitchFamily="18" charset="0"/>
                </a:rPr>
                <a:t>2〗^</a:t>
              </a:r>
              <a:r>
                <a:rPr lang="en-US" sz="1200" i="0">
                  <a:latin typeface="Cambria Math" panose="02040503050406030204" pitchFamily="18" charset="0"/>
                </a:rPr>
                <a:t>2 𝑅𝑑𝑠𝑜𝑛</a:t>
              </a:r>
              <a:r>
                <a:rPr lang="en-US" sz="1200" b="0" i="0">
                  <a:latin typeface="Cambria Math" panose="02040503050406030204" pitchFamily="18" charset="0"/>
                </a:rPr>
                <a:t>_2+ …+〖</a:t>
              </a:r>
              <a:r>
                <a:rPr lang="en-US" sz="1200" i="0">
                  <a:latin typeface="Cambria Math" panose="02040503050406030204" pitchFamily="18" charset="0"/>
                </a:rPr>
                <a:t>𝐼</a:t>
              </a:r>
              <a:r>
                <a:rPr lang="en-US" sz="1200" b="0" i="0">
                  <a:latin typeface="Cambria Math" panose="02040503050406030204" pitchFamily="18" charset="0"/>
                </a:rPr>
                <a:t>𝑛〗^</a:t>
              </a:r>
              <a:r>
                <a:rPr lang="en-US" sz="1200" i="0">
                  <a:latin typeface="Cambria Math" panose="02040503050406030204" pitchFamily="18" charset="0"/>
                </a:rPr>
                <a:t>2 𝑅𝑑𝑠𝑜𝑛</a:t>
              </a:r>
              <a:r>
                <a:rPr lang="en-US" sz="1200" b="0" i="0">
                  <a:latin typeface="Cambria Math" panose="02040503050406030204" pitchFamily="18" charset="0"/>
                </a:rPr>
                <a:t>_𝑛 )∗𝑅𝑡ℎ𝑗𝑎</a:t>
              </a:r>
              <a:endParaRPr lang="en-US" sz="1200"/>
            </a:p>
          </xdr:txBody>
        </xdr:sp>
      </mc:Fallback>
    </mc:AlternateContent>
    <xdr:clientData/>
  </xdr:twoCellAnchor>
  <xdr:twoCellAnchor editAs="oneCell">
    <xdr:from>
      <xdr:col>1</xdr:col>
      <xdr:colOff>35827</xdr:colOff>
      <xdr:row>28</xdr:row>
      <xdr:rowOff>58092</xdr:rowOff>
    </xdr:from>
    <xdr:to>
      <xdr:col>4</xdr:col>
      <xdr:colOff>591276</xdr:colOff>
      <xdr:row>38</xdr:row>
      <xdr:rowOff>54463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17843B9E-68BA-4668-A4FA-C51E69501E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3184" y="5319521"/>
          <a:ext cx="2599423" cy="1913483"/>
        </a:xfrm>
        <a:prstGeom prst="rect">
          <a:avLst/>
        </a:prstGeom>
      </xdr:spPr>
    </xdr:pic>
    <xdr:clientData/>
  </xdr:twoCellAnchor>
  <xdr:twoCellAnchor editAs="oneCell">
    <xdr:from>
      <xdr:col>1</xdr:col>
      <xdr:colOff>26221</xdr:colOff>
      <xdr:row>41</xdr:row>
      <xdr:rowOff>81304</xdr:rowOff>
    </xdr:from>
    <xdr:to>
      <xdr:col>4</xdr:col>
      <xdr:colOff>571500</xdr:colOff>
      <xdr:row>50</xdr:row>
      <xdr:rowOff>54532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6B982135-0BFC-45F2-9DDB-890C6AC551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33578" y="7846447"/>
          <a:ext cx="2604493" cy="1781798"/>
        </a:xfrm>
        <a:prstGeom prst="rect">
          <a:avLst/>
        </a:prstGeom>
      </xdr:spPr>
    </xdr:pic>
    <xdr:clientData/>
  </xdr:twoCellAnchor>
  <xdr:twoCellAnchor editAs="oneCell">
    <xdr:from>
      <xdr:col>6</xdr:col>
      <xdr:colOff>52968</xdr:colOff>
      <xdr:row>29</xdr:row>
      <xdr:rowOff>88793</xdr:rowOff>
    </xdr:from>
    <xdr:to>
      <xdr:col>6</xdr:col>
      <xdr:colOff>478440</xdr:colOff>
      <xdr:row>31</xdr:row>
      <xdr:rowOff>136006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99FF28A-EB42-4E33-A14E-FC946204D1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412487" y="5342197"/>
          <a:ext cx="421662" cy="421178"/>
        </a:xfrm>
        <a:prstGeom prst="rect">
          <a:avLst/>
        </a:prstGeom>
      </xdr:spPr>
    </xdr:pic>
    <xdr:clientData/>
  </xdr:twoCellAnchor>
  <xdr:twoCellAnchor editAs="oneCell">
    <xdr:from>
      <xdr:col>7</xdr:col>
      <xdr:colOff>132787</xdr:colOff>
      <xdr:row>29</xdr:row>
      <xdr:rowOff>65717</xdr:rowOff>
    </xdr:from>
    <xdr:to>
      <xdr:col>7</xdr:col>
      <xdr:colOff>701218</xdr:colOff>
      <xdr:row>31</xdr:row>
      <xdr:rowOff>170698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4BB27261-C0E2-42A5-9FB6-16C02AE109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371537" y="5304467"/>
          <a:ext cx="564621" cy="471647"/>
        </a:xfrm>
        <a:prstGeom prst="rect">
          <a:avLst/>
        </a:prstGeom>
      </xdr:spPr>
    </xdr:pic>
    <xdr:clientData/>
  </xdr:twoCellAnchor>
  <xdr:twoCellAnchor editAs="oneCell">
    <xdr:from>
      <xdr:col>8</xdr:col>
      <xdr:colOff>161823</xdr:colOff>
      <xdr:row>29</xdr:row>
      <xdr:rowOff>26014</xdr:rowOff>
    </xdr:from>
    <xdr:to>
      <xdr:col>8</xdr:col>
      <xdr:colOff>743696</xdr:colOff>
      <xdr:row>31</xdr:row>
      <xdr:rowOff>171334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FCA3B4AF-165A-4AB0-9881-4FEEC66532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199208" y="5279418"/>
          <a:ext cx="578063" cy="515475"/>
        </a:xfrm>
        <a:prstGeom prst="rect">
          <a:avLst/>
        </a:prstGeom>
      </xdr:spPr>
    </xdr:pic>
    <xdr:clientData/>
  </xdr:twoCellAnchor>
  <xdr:twoCellAnchor editAs="absolute">
    <xdr:from>
      <xdr:col>14</xdr:col>
      <xdr:colOff>171594</xdr:colOff>
      <xdr:row>13</xdr:row>
      <xdr:rowOff>135764</xdr:rowOff>
    </xdr:from>
    <xdr:to>
      <xdr:col>14</xdr:col>
      <xdr:colOff>892630</xdr:colOff>
      <xdr:row>15</xdr:row>
      <xdr:rowOff>98329</xdr:rowOff>
    </xdr:to>
    <xdr:sp macro="" textlink="">
      <xdr:nvSpPr>
        <xdr:cNvPr id="13" name="对话气泡: 圆角矩形 17">
          <a:extLst>
            <a:ext uri="{FF2B5EF4-FFF2-40B4-BE49-F238E27FC236}">
              <a16:creationId xmlns:a16="http://schemas.microsoft.com/office/drawing/2014/main" id="{3407C7F8-33EF-4AD7-807B-44F88D597DFE}"/>
            </a:ext>
          </a:extLst>
        </xdr:cNvPr>
        <xdr:cNvSpPr>
          <a:spLocks noChangeAspect="1"/>
        </xdr:cNvSpPr>
      </xdr:nvSpPr>
      <xdr:spPr>
        <a:xfrm>
          <a:off x="11519343" y="2603187"/>
          <a:ext cx="721036" cy="332135"/>
        </a:xfrm>
        <a:prstGeom prst="wedgeRoundRect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altLang="zh-CN" sz="1400"/>
            <a:t>STEP 1</a:t>
          </a:r>
          <a:endParaRPr lang="zh-CN" altLang="en-US" sz="1400"/>
        </a:p>
      </xdr:txBody>
    </xdr:sp>
    <xdr:clientData/>
  </xdr:twoCellAnchor>
  <xdr:twoCellAnchor editAs="absolute">
    <xdr:from>
      <xdr:col>14</xdr:col>
      <xdr:colOff>21339</xdr:colOff>
      <xdr:row>23</xdr:row>
      <xdr:rowOff>76238</xdr:rowOff>
    </xdr:from>
    <xdr:to>
      <xdr:col>14</xdr:col>
      <xdr:colOff>742737</xdr:colOff>
      <xdr:row>25</xdr:row>
      <xdr:rowOff>91620</xdr:rowOff>
    </xdr:to>
    <xdr:sp macro="" textlink="">
      <xdr:nvSpPr>
        <xdr:cNvPr id="14" name="对话气泡: 圆角矩形 17">
          <a:extLst>
            <a:ext uri="{FF2B5EF4-FFF2-40B4-BE49-F238E27FC236}">
              <a16:creationId xmlns:a16="http://schemas.microsoft.com/office/drawing/2014/main" id="{DB71583D-7BE4-4C5A-B578-13FBF2ABA0FA}"/>
            </a:ext>
          </a:extLst>
        </xdr:cNvPr>
        <xdr:cNvSpPr>
          <a:spLocks noChangeAspect="1"/>
        </xdr:cNvSpPr>
      </xdr:nvSpPr>
      <xdr:spPr>
        <a:xfrm>
          <a:off x="11058171" y="4459184"/>
          <a:ext cx="708826" cy="392118"/>
        </a:xfrm>
        <a:prstGeom prst="wedgeRoundRect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altLang="zh-CN" sz="1400"/>
            <a:t>STEP 2</a:t>
          </a:r>
          <a:endParaRPr lang="zh-CN" altLang="en-US" sz="1400"/>
        </a:p>
      </xdr:txBody>
    </xdr:sp>
    <xdr:clientData/>
  </xdr:twoCellAnchor>
  <xdr:twoCellAnchor editAs="absolute">
    <xdr:from>
      <xdr:col>14</xdr:col>
      <xdr:colOff>38629</xdr:colOff>
      <xdr:row>28</xdr:row>
      <xdr:rowOff>152174</xdr:rowOff>
    </xdr:from>
    <xdr:to>
      <xdr:col>14</xdr:col>
      <xdr:colOff>742882</xdr:colOff>
      <xdr:row>30</xdr:row>
      <xdr:rowOff>152315</xdr:rowOff>
    </xdr:to>
    <xdr:sp macro="" textlink="">
      <xdr:nvSpPr>
        <xdr:cNvPr id="15" name="对话气泡: 圆角矩形 17">
          <a:extLst>
            <a:ext uri="{FF2B5EF4-FFF2-40B4-BE49-F238E27FC236}">
              <a16:creationId xmlns:a16="http://schemas.microsoft.com/office/drawing/2014/main" id="{7676F35C-1F85-48EA-ADFB-FC12780BE1E6}"/>
            </a:ext>
          </a:extLst>
        </xdr:cNvPr>
        <xdr:cNvSpPr>
          <a:spLocks noChangeAspect="1"/>
        </xdr:cNvSpPr>
      </xdr:nvSpPr>
      <xdr:spPr>
        <a:xfrm>
          <a:off x="11064031" y="5387382"/>
          <a:ext cx="706921" cy="392117"/>
        </a:xfrm>
        <a:prstGeom prst="wedgeRoundRect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altLang="zh-CN" sz="1400"/>
            <a:t>STEP 3</a:t>
          </a:r>
          <a:endParaRPr lang="zh-CN" altLang="en-US" sz="1400"/>
        </a:p>
      </xdr:txBody>
    </xdr:sp>
    <xdr:clientData/>
  </xdr:twoCellAnchor>
  <xdr:twoCellAnchor editAs="absolute">
    <xdr:from>
      <xdr:col>14</xdr:col>
      <xdr:colOff>58796</xdr:colOff>
      <xdr:row>38</xdr:row>
      <xdr:rowOff>38629</xdr:rowOff>
    </xdr:from>
    <xdr:to>
      <xdr:col>14</xdr:col>
      <xdr:colOff>778289</xdr:colOff>
      <xdr:row>40</xdr:row>
      <xdr:rowOff>57820</xdr:rowOff>
    </xdr:to>
    <xdr:sp macro="" textlink="">
      <xdr:nvSpPr>
        <xdr:cNvPr id="16" name="对话气泡: 圆角矩形 17">
          <a:extLst>
            <a:ext uri="{FF2B5EF4-FFF2-40B4-BE49-F238E27FC236}">
              <a16:creationId xmlns:a16="http://schemas.microsoft.com/office/drawing/2014/main" id="{D381C434-F411-4486-98D0-D3C58DADB34B}"/>
            </a:ext>
          </a:extLst>
        </xdr:cNvPr>
        <xdr:cNvSpPr>
          <a:spLocks noChangeAspect="1"/>
        </xdr:cNvSpPr>
      </xdr:nvSpPr>
      <xdr:spPr>
        <a:xfrm>
          <a:off x="11078483" y="7217619"/>
          <a:ext cx="716446" cy="392117"/>
        </a:xfrm>
        <a:prstGeom prst="wedgeRoundRect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altLang="zh-CN" sz="1400"/>
            <a:t>STEP 4</a:t>
          </a:r>
          <a:endParaRPr lang="zh-CN" altLang="en-US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&#937;@150&#8451;" TargetMode="External"/><Relationship Id="rId2" Type="http://schemas.openxmlformats.org/officeDocument/2006/relationships/hyperlink" Target="mailto:m&#937;@150&#8451;" TargetMode="External"/><Relationship Id="rId1" Type="http://schemas.openxmlformats.org/officeDocument/2006/relationships/hyperlink" Target="mailto:m&#937;@150&#8451;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m&#937;@150&#8451;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ECA24-E5AA-4267-B7FC-DA506028DEFD}">
  <dimension ref="A1:AB134"/>
  <sheetViews>
    <sheetView tabSelected="1" topLeftCell="A10" zoomScale="85" zoomScaleNormal="85" workbookViewId="0">
      <pane ySplit="1" topLeftCell="A86" activePane="bottomLeft" state="frozen"/>
      <selection activeCell="A10" sqref="A10"/>
      <selection pane="bottomLeft" activeCell="T17" sqref="T17"/>
    </sheetView>
  </sheetViews>
  <sheetFormatPr defaultRowHeight="14.15" x14ac:dyDescent="0.35"/>
  <cols>
    <col min="1" max="1" width="12.140625" style="5" customWidth="1"/>
    <col min="2" max="2" width="9.140625" style="6"/>
    <col min="3" max="3" width="13" style="6" customWidth="1"/>
    <col min="4" max="4" width="8.7109375" style="6"/>
    <col min="5" max="5" width="9.140625" bestFit="1" customWidth="1"/>
    <col min="6" max="6" width="11.28515625" style="5" bestFit="1" customWidth="1"/>
    <col min="7" max="7" width="13.140625" customWidth="1"/>
    <col min="8" max="8" width="11.28515625" bestFit="1" customWidth="1"/>
    <col min="9" max="9" width="11.7109375" customWidth="1"/>
    <col min="10" max="10" width="14.85546875" style="5" customWidth="1"/>
    <col min="11" max="11" width="14.28515625" style="5" customWidth="1"/>
    <col min="12" max="12" width="13.7109375" style="5" customWidth="1"/>
    <col min="13" max="13" width="14.140625" style="5" customWidth="1"/>
    <col min="15" max="15" width="16.85546875" customWidth="1"/>
    <col min="16" max="16" width="2.7109375" customWidth="1"/>
    <col min="17" max="23" width="2.7109375" style="5" customWidth="1"/>
    <col min="24" max="28" width="9.140625" style="5"/>
  </cols>
  <sheetData>
    <row r="1" spans="3:28" x14ac:dyDescent="0.35">
      <c r="E1" s="5"/>
      <c r="G1" s="5"/>
      <c r="H1" s="5"/>
      <c r="I1" s="5"/>
      <c r="N1" s="5"/>
      <c r="O1" s="5"/>
      <c r="P1" s="11" t="s">
        <v>30</v>
      </c>
    </row>
    <row r="2" spans="3:28" x14ac:dyDescent="0.35">
      <c r="E2" s="5"/>
      <c r="G2" s="5"/>
      <c r="H2" s="5"/>
      <c r="I2" s="5"/>
      <c r="N2" s="5"/>
      <c r="O2" s="5"/>
      <c r="P2" s="8">
        <v>85.233999999999995</v>
      </c>
    </row>
    <row r="3" spans="3:28" x14ac:dyDescent="0.35">
      <c r="E3" s="5"/>
      <c r="G3" s="5"/>
      <c r="H3" s="5"/>
      <c r="I3" s="5"/>
      <c r="N3" s="5"/>
      <c r="O3" s="5"/>
      <c r="P3" s="8">
        <v>86.17</v>
      </c>
    </row>
    <row r="4" spans="3:28" x14ac:dyDescent="0.35">
      <c r="E4" s="5"/>
      <c r="G4" s="5"/>
      <c r="H4" s="5"/>
      <c r="I4" s="5"/>
      <c r="N4" s="5"/>
      <c r="O4" s="5"/>
      <c r="P4" s="8">
        <v>87.105999999999995</v>
      </c>
    </row>
    <row r="5" spans="3:28" x14ac:dyDescent="0.35">
      <c r="E5" s="5"/>
      <c r="G5" s="5"/>
      <c r="H5" s="5"/>
      <c r="I5" s="5"/>
      <c r="N5" s="5"/>
      <c r="O5" s="5"/>
      <c r="P5" s="8">
        <v>88.042000000000002</v>
      </c>
    </row>
    <row r="6" spans="3:28" x14ac:dyDescent="0.35">
      <c r="E6" s="5"/>
      <c r="G6" s="5"/>
      <c r="H6" s="5"/>
      <c r="I6" s="5"/>
      <c r="N6" s="5"/>
      <c r="O6" s="5"/>
      <c r="P6" s="8">
        <v>88.977999999999994</v>
      </c>
    </row>
    <row r="7" spans="3:28" x14ac:dyDescent="0.35">
      <c r="E7" s="5"/>
      <c r="G7" s="5"/>
      <c r="H7" s="5"/>
      <c r="I7" s="5"/>
      <c r="N7" s="5"/>
      <c r="O7" s="5"/>
      <c r="P7" s="8">
        <v>89.914000000000001</v>
      </c>
    </row>
    <row r="8" spans="3:28" x14ac:dyDescent="0.35">
      <c r="E8" s="5"/>
      <c r="G8" s="5"/>
      <c r="H8" s="5"/>
      <c r="I8" s="5"/>
      <c r="N8" s="5"/>
      <c r="O8" s="5"/>
      <c r="P8" s="8">
        <v>90.85</v>
      </c>
    </row>
    <row r="9" spans="3:28" x14ac:dyDescent="0.35">
      <c r="E9" s="5"/>
      <c r="G9" s="5"/>
      <c r="H9" s="5"/>
      <c r="I9" s="5"/>
      <c r="N9" s="5"/>
      <c r="O9" s="5"/>
      <c r="P9" s="8">
        <v>91.786000000000001</v>
      </c>
    </row>
    <row r="10" spans="3:28" ht="8.25" customHeight="1" thickBot="1" x14ac:dyDescent="0.4">
      <c r="E10" s="5"/>
      <c r="G10" s="5"/>
      <c r="H10" s="5"/>
      <c r="I10" s="5"/>
      <c r="N10" s="5"/>
      <c r="O10" s="5"/>
      <c r="P10" s="5"/>
    </row>
    <row r="11" spans="3:28" ht="15.45" thickBot="1" x14ac:dyDescent="0.4">
      <c r="C11" s="159" t="s">
        <v>22</v>
      </c>
      <c r="D11" s="160"/>
      <c r="E11" s="161"/>
      <c r="G11" s="156" t="s">
        <v>59</v>
      </c>
      <c r="H11" s="157"/>
      <c r="I11" s="157"/>
      <c r="J11" s="157"/>
      <c r="K11" s="157"/>
      <c r="L11" s="157"/>
      <c r="M11" s="157"/>
      <c r="N11" s="158"/>
      <c r="O11" s="5"/>
      <c r="P11" s="5"/>
    </row>
    <row r="12" spans="3:28" s="6" customFormat="1" ht="27" customHeight="1" thickBot="1" x14ac:dyDescent="0.4">
      <c r="C12" s="24" t="s">
        <v>15</v>
      </c>
      <c r="D12" s="25">
        <v>5</v>
      </c>
      <c r="E12" s="26" t="s">
        <v>17</v>
      </c>
      <c r="G12" s="133" t="s">
        <v>50</v>
      </c>
      <c r="H12" s="134"/>
      <c r="I12" s="135"/>
      <c r="J12" s="107" t="s">
        <v>67</v>
      </c>
      <c r="K12" s="101" t="s">
        <v>113</v>
      </c>
      <c r="L12" s="101" t="s">
        <v>55</v>
      </c>
      <c r="M12" s="102" t="s">
        <v>56</v>
      </c>
      <c r="N12" s="123" t="s">
        <v>111</v>
      </c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3:28" x14ac:dyDescent="0.35">
      <c r="C13" s="24" t="s">
        <v>16</v>
      </c>
      <c r="D13" s="25">
        <v>16</v>
      </c>
      <c r="E13" s="26" t="s">
        <v>14</v>
      </c>
      <c r="G13" s="90" t="s">
        <v>24</v>
      </c>
      <c r="H13" s="112">
        <f>IF(G12=J29,K29,IF(G12=J30,K30,IF(G12=J31,K31,IF(G12=J32,K32,IF(G12=J33,K33,IF(G12=J34,K34,IF(G12=J35,K35,IF(G12=J36,K36,IF(G12=J37,K37,IF(G12=J38,K38,IF(G12=J39,K39,IF(G12=J40,K40,IF(G12=J41,K41,IF(G12=J42,K42,IF(G12=J43,K43,0)))))))))))))))</f>
        <v>56</v>
      </c>
      <c r="I13" s="69" t="s">
        <v>66</v>
      </c>
      <c r="J13" s="68">
        <v>0</v>
      </c>
      <c r="K13" s="68">
        <v>1</v>
      </c>
      <c r="L13" s="70">
        <f t="shared" ref="L13:L20" si="0">(H35^2*H13)/1000*K13</f>
        <v>68.599999999999994</v>
      </c>
      <c r="M13" s="70">
        <f>IF(K13=1,0,IF(N13="Resistive",$H$22/10^6*H35*$H$28*J13/6,$H$22/10^6*H35*$H$28*J13/4))</f>
        <v>0</v>
      </c>
      <c r="N13" s="113" t="s">
        <v>112</v>
      </c>
      <c r="O13" s="5"/>
      <c r="P13" s="5"/>
    </row>
    <row r="14" spans="3:28" ht="14.6" thickBot="1" x14ac:dyDescent="0.4">
      <c r="C14" s="27" t="s">
        <v>18</v>
      </c>
      <c r="D14" s="28">
        <v>0.3125</v>
      </c>
      <c r="E14" s="29" t="s">
        <v>19</v>
      </c>
      <c r="G14" s="91" t="s">
        <v>25</v>
      </c>
      <c r="H14" s="104">
        <f>IF(G12=J29,K29,IF(G12=J30,K30,IF(G12=J31,K31,IF(G12=J32,K32,IF(G12=J33,K33,IF(G12=J34,K34,IF(G12=J35,K35,IF(G12=J36,K36,IF(G12=J37,K37,0)))))))))</f>
        <v>56</v>
      </c>
      <c r="I14" s="12" t="s">
        <v>66</v>
      </c>
      <c r="J14" s="20">
        <v>0</v>
      </c>
      <c r="K14" s="20">
        <v>0.5</v>
      </c>
      <c r="L14" s="21">
        <f t="shared" si="0"/>
        <v>0</v>
      </c>
      <c r="M14" s="21">
        <f t="shared" ref="M14:M20" si="1">IF(K14=1,0,IF(N14="Resistive",$H$22/10^6*H36*$H$28*J14/6,$H$22/10^6*H36*$H$28*J14/4))</f>
        <v>0</v>
      </c>
      <c r="N14" s="124" t="s">
        <v>112</v>
      </c>
      <c r="O14" s="5"/>
      <c r="P14" s="5"/>
    </row>
    <row r="15" spans="3:28" ht="14.6" thickBot="1" x14ac:dyDescent="0.4">
      <c r="G15" s="91" t="s">
        <v>26</v>
      </c>
      <c r="H15" s="105">
        <f>IF(G12=J29,L29,IF(G12=J30,L30,IF(G12=J31,L31,IF(G12=J32,L32,0))))</f>
        <v>0</v>
      </c>
      <c r="I15" s="12" t="s">
        <v>66</v>
      </c>
      <c r="J15" s="20">
        <v>0</v>
      </c>
      <c r="K15" s="20">
        <v>0.5</v>
      </c>
      <c r="L15" s="21">
        <f t="shared" si="0"/>
        <v>0</v>
      </c>
      <c r="M15" s="21">
        <f t="shared" si="1"/>
        <v>0</v>
      </c>
      <c r="N15" s="124" t="s">
        <v>112</v>
      </c>
      <c r="O15" s="5"/>
      <c r="P15" s="5"/>
    </row>
    <row r="16" spans="3:28" x14ac:dyDescent="0.35">
      <c r="C16" s="147" t="s">
        <v>23</v>
      </c>
      <c r="D16" s="148"/>
      <c r="E16" s="149"/>
      <c r="G16" s="91" t="s">
        <v>27</v>
      </c>
      <c r="H16" s="104">
        <f>IF(G12=J29,L29,IF(G12=J30,L30,IF(G12=J31,L31,IF(G12=J32,L32,0))))</f>
        <v>0</v>
      </c>
      <c r="I16" s="12" t="s">
        <v>66</v>
      </c>
      <c r="J16" s="20">
        <v>0</v>
      </c>
      <c r="K16" s="20">
        <v>0.5</v>
      </c>
      <c r="L16" s="21">
        <f t="shared" si="0"/>
        <v>0</v>
      </c>
      <c r="M16" s="21">
        <f t="shared" si="1"/>
        <v>0</v>
      </c>
      <c r="N16" s="124" t="s">
        <v>112</v>
      </c>
      <c r="O16" s="5"/>
      <c r="P16" s="5"/>
    </row>
    <row r="17" spans="2:23" x14ac:dyDescent="0.35">
      <c r="C17" s="24" t="s">
        <v>15</v>
      </c>
      <c r="D17" s="20">
        <v>10</v>
      </c>
      <c r="E17" s="26" t="s">
        <v>17</v>
      </c>
      <c r="G17" s="91" t="s">
        <v>37</v>
      </c>
      <c r="H17" s="105">
        <f>IF(G12=J30,L30,0)</f>
        <v>0</v>
      </c>
      <c r="I17" s="12" t="s">
        <v>66</v>
      </c>
      <c r="J17" s="20">
        <v>0</v>
      </c>
      <c r="K17" s="20">
        <v>0.5</v>
      </c>
      <c r="L17" s="21">
        <f t="shared" si="0"/>
        <v>0</v>
      </c>
      <c r="M17" s="21">
        <f t="shared" si="1"/>
        <v>0</v>
      </c>
      <c r="N17" s="124" t="s">
        <v>112</v>
      </c>
      <c r="O17" s="5"/>
      <c r="P17" s="5"/>
    </row>
    <row r="18" spans="2:23" x14ac:dyDescent="0.35">
      <c r="C18" s="64" t="s">
        <v>89</v>
      </c>
      <c r="D18" s="1">
        <v>10</v>
      </c>
      <c r="E18" s="39" t="s">
        <v>76</v>
      </c>
      <c r="G18" s="91" t="s">
        <v>38</v>
      </c>
      <c r="H18" s="105">
        <f>IF(G12=J30,L30,0)</f>
        <v>0</v>
      </c>
      <c r="I18" s="12" t="s">
        <v>66</v>
      </c>
      <c r="J18" s="20">
        <v>0</v>
      </c>
      <c r="K18" s="20">
        <v>0.5</v>
      </c>
      <c r="L18" s="21">
        <f t="shared" si="0"/>
        <v>0</v>
      </c>
      <c r="M18" s="21">
        <f t="shared" si="1"/>
        <v>0</v>
      </c>
      <c r="N18" s="124" t="s">
        <v>112</v>
      </c>
      <c r="O18" s="5"/>
      <c r="P18" s="5"/>
    </row>
    <row r="19" spans="2:23" x14ac:dyDescent="0.35">
      <c r="C19" s="24" t="s">
        <v>20</v>
      </c>
      <c r="D19" s="20">
        <v>16</v>
      </c>
      <c r="E19" s="26" t="s">
        <v>14</v>
      </c>
      <c r="G19" s="91" t="s">
        <v>41</v>
      </c>
      <c r="H19" s="105">
        <v>0</v>
      </c>
      <c r="I19" s="12" t="s">
        <v>66</v>
      </c>
      <c r="J19" s="20">
        <v>0</v>
      </c>
      <c r="K19" s="20">
        <v>1</v>
      </c>
      <c r="L19" s="21">
        <f t="shared" si="0"/>
        <v>0</v>
      </c>
      <c r="M19" s="21">
        <f t="shared" si="1"/>
        <v>0</v>
      </c>
      <c r="N19" s="124" t="s">
        <v>112</v>
      </c>
      <c r="O19" s="5"/>
      <c r="P19" s="5"/>
    </row>
    <row r="20" spans="2:23" ht="14.6" thickBot="1" x14ac:dyDescent="0.4">
      <c r="C20" s="27" t="s">
        <v>21</v>
      </c>
      <c r="D20" s="28">
        <f>D17*(1+D18/100)/12*(D19/12)^0.55</f>
        <v>1.0738107421905649</v>
      </c>
      <c r="E20" s="29" t="s">
        <v>19</v>
      </c>
      <c r="G20" s="92" t="s">
        <v>42</v>
      </c>
      <c r="H20" s="106">
        <v>0</v>
      </c>
      <c r="I20" s="13" t="s">
        <v>66</v>
      </c>
      <c r="J20" s="71">
        <v>0</v>
      </c>
      <c r="K20" s="71">
        <v>1</v>
      </c>
      <c r="L20" s="22">
        <f t="shared" si="0"/>
        <v>0</v>
      </c>
      <c r="M20" s="22">
        <f t="shared" si="1"/>
        <v>0</v>
      </c>
      <c r="N20" s="125" t="s">
        <v>112</v>
      </c>
      <c r="O20" s="5"/>
      <c r="P20" s="5"/>
    </row>
    <row r="21" spans="2:23" ht="5.25" customHeight="1" thickBot="1" x14ac:dyDescent="0.4">
      <c r="G21" s="5"/>
      <c r="H21" s="5"/>
      <c r="I21" s="5"/>
      <c r="N21" s="5"/>
      <c r="O21" s="5"/>
      <c r="P21" s="5"/>
    </row>
    <row r="22" spans="2:23" x14ac:dyDescent="0.35">
      <c r="C22" s="150" t="s">
        <v>31</v>
      </c>
      <c r="D22" s="151"/>
      <c r="E22" s="152"/>
      <c r="G22" s="90" t="s">
        <v>51</v>
      </c>
      <c r="H22" s="68">
        <v>100</v>
      </c>
      <c r="I22" s="72" t="s">
        <v>45</v>
      </c>
      <c r="J22" s="131" t="s">
        <v>60</v>
      </c>
      <c r="K22" s="132"/>
      <c r="L22" s="126" t="s">
        <v>61</v>
      </c>
      <c r="M22" s="127" t="s">
        <v>62</v>
      </c>
      <c r="N22" s="5"/>
      <c r="O22" s="5"/>
      <c r="P22" s="5"/>
    </row>
    <row r="23" spans="2:23" x14ac:dyDescent="0.35">
      <c r="C23" s="24" t="s">
        <v>21</v>
      </c>
      <c r="D23" s="20">
        <v>2</v>
      </c>
      <c r="E23" s="26" t="s">
        <v>19</v>
      </c>
      <c r="G23" s="91" t="s">
        <v>29</v>
      </c>
      <c r="H23" s="20">
        <v>85</v>
      </c>
      <c r="I23" s="2" t="s">
        <v>47</v>
      </c>
      <c r="J23" s="141" t="s">
        <v>53</v>
      </c>
      <c r="K23" s="142"/>
      <c r="L23" s="14">
        <f>SUM(L13:L20)</f>
        <v>68.599999999999994</v>
      </c>
      <c r="M23" s="15">
        <f>L23/L26</f>
        <v>0.9992309126503216</v>
      </c>
      <c r="N23" s="5"/>
      <c r="O23" s="5"/>
      <c r="P23" s="5"/>
    </row>
    <row r="24" spans="2:23" x14ac:dyDescent="0.35">
      <c r="C24" s="24" t="s">
        <v>20</v>
      </c>
      <c r="D24" s="25">
        <v>16</v>
      </c>
      <c r="E24" s="26" t="s">
        <v>14</v>
      </c>
      <c r="G24" s="93" t="s">
        <v>100</v>
      </c>
      <c r="H24" s="105">
        <f>IF(G12=J29,M29,IF(G12=J30,M30,IF(G12=J31,M31,IF(G12=J32,M32,IF(G12=J33,M33,IF(G12=J34,M34,IF(G12=J35,M35,IF(G12=J36,M36,IF(G12=J37,M37,IF(G12=J38,M38,IF(G12=J39,M39,IF(G12=J40,M40,IF(G12=J41,M41,IF(G12=J42,M42,IF(G12=J43,M43,0)))))))))))))))</f>
        <v>21.6</v>
      </c>
      <c r="I24" s="2" t="s">
        <v>28</v>
      </c>
      <c r="J24" s="143" t="s">
        <v>54</v>
      </c>
      <c r="K24" s="144"/>
      <c r="L24" s="16">
        <f>SUM(M13:M20)</f>
        <v>0</v>
      </c>
      <c r="M24" s="17">
        <f>L24/L26</f>
        <v>0</v>
      </c>
      <c r="N24" s="5"/>
      <c r="O24" s="5"/>
      <c r="P24" s="5"/>
    </row>
    <row r="25" spans="2:23" ht="14.6" thickBot="1" x14ac:dyDescent="0.4">
      <c r="C25" s="27" t="s">
        <v>32</v>
      </c>
      <c r="D25" s="30">
        <f>D23*12/(D24/12)^0.55</f>
        <v>20.487781631910465</v>
      </c>
      <c r="E25" s="29" t="s">
        <v>17</v>
      </c>
      <c r="G25" s="74" t="s">
        <v>102</v>
      </c>
      <c r="H25" s="1">
        <v>20</v>
      </c>
      <c r="I25" s="87" t="s">
        <v>103</v>
      </c>
      <c r="J25" s="143" t="s">
        <v>68</v>
      </c>
      <c r="K25" s="144"/>
      <c r="L25" s="18">
        <f>(H29/1000)*H28</f>
        <v>5.28E-2</v>
      </c>
      <c r="M25" s="17">
        <f>L25/L26</f>
        <v>7.6908734967838163E-4</v>
      </c>
      <c r="N25" s="5"/>
      <c r="O25" s="5"/>
      <c r="P25" s="5"/>
    </row>
    <row r="26" spans="2:23" ht="15.75" customHeight="1" thickBot="1" x14ac:dyDescent="0.4">
      <c r="G26" s="98" t="s">
        <v>101</v>
      </c>
      <c r="H26" s="88">
        <f>H24*(1+H25/100)</f>
        <v>25.92</v>
      </c>
      <c r="I26" s="89" t="s">
        <v>28</v>
      </c>
      <c r="J26" s="145" t="s">
        <v>69</v>
      </c>
      <c r="K26" s="146"/>
      <c r="L26" s="31">
        <f>SUM(L23:L25)</f>
        <v>68.652799999999999</v>
      </c>
      <c r="M26" s="19"/>
      <c r="N26" s="5"/>
      <c r="O26" s="5"/>
      <c r="P26" s="5"/>
    </row>
    <row r="27" spans="2:23" ht="6" customHeight="1" thickBot="1" x14ac:dyDescent="0.4">
      <c r="G27" s="5"/>
      <c r="H27" s="5"/>
      <c r="I27" s="5"/>
      <c r="N27" s="5"/>
      <c r="O27" s="5"/>
      <c r="P27" s="5"/>
    </row>
    <row r="28" spans="2:23" ht="14.6" thickBot="1" x14ac:dyDescent="0.4">
      <c r="B28" s="55" t="s">
        <v>70</v>
      </c>
      <c r="C28" s="45"/>
      <c r="D28" s="45"/>
      <c r="E28" s="37"/>
      <c r="G28" s="97" t="s">
        <v>20</v>
      </c>
      <c r="H28" s="68">
        <v>16</v>
      </c>
      <c r="I28" s="72" t="s">
        <v>14</v>
      </c>
      <c r="J28" s="80" t="s">
        <v>0</v>
      </c>
      <c r="K28" s="86" t="s">
        <v>99</v>
      </c>
      <c r="L28" s="86" t="s">
        <v>110</v>
      </c>
      <c r="M28" s="81" t="s">
        <v>28</v>
      </c>
      <c r="N28" s="5"/>
      <c r="O28" s="5"/>
      <c r="P28" s="115"/>
      <c r="Q28" s="116"/>
      <c r="R28" s="116"/>
      <c r="S28" s="116"/>
      <c r="T28" s="116"/>
      <c r="U28" s="116"/>
      <c r="V28" s="116"/>
      <c r="W28" s="117"/>
    </row>
    <row r="29" spans="2:23" ht="14.6" thickBot="1" x14ac:dyDescent="0.4">
      <c r="B29" s="46"/>
      <c r="C29" s="7"/>
      <c r="D29" s="7"/>
      <c r="E29" s="10"/>
      <c r="G29" s="94" t="s">
        <v>52</v>
      </c>
      <c r="H29" s="108">
        <v>3.3</v>
      </c>
      <c r="I29" s="3" t="s">
        <v>46</v>
      </c>
      <c r="J29" s="82" t="s">
        <v>63</v>
      </c>
      <c r="K29" s="78">
        <v>16.7</v>
      </c>
      <c r="L29" s="78">
        <v>44</v>
      </c>
      <c r="M29" s="79">
        <v>23</v>
      </c>
      <c r="N29" s="5"/>
      <c r="O29" s="5"/>
      <c r="P29" s="118"/>
      <c r="Q29" s="114">
        <f>H44-4</f>
        <v>1860.4805760000002</v>
      </c>
      <c r="R29" s="114">
        <f>H44-4</f>
        <v>1860.4805760000002</v>
      </c>
      <c r="S29" s="114">
        <f>H44-4</f>
        <v>1860.4805760000002</v>
      </c>
      <c r="T29" s="114">
        <f>H44-4</f>
        <v>1860.4805760000002</v>
      </c>
      <c r="U29" s="114">
        <f>H44-4</f>
        <v>1860.4805760000002</v>
      </c>
      <c r="V29" s="114">
        <f>H44-4</f>
        <v>1860.4805760000002</v>
      </c>
      <c r="W29" s="119"/>
    </row>
    <row r="30" spans="2:23" x14ac:dyDescent="0.35">
      <c r="B30" s="46"/>
      <c r="C30" s="7"/>
      <c r="D30" s="7"/>
      <c r="E30" s="10"/>
      <c r="F30" s="9"/>
      <c r="G30" s="153"/>
      <c r="H30" s="153"/>
      <c r="I30" s="153"/>
      <c r="J30" s="83" t="s">
        <v>48</v>
      </c>
      <c r="K30" s="75">
        <v>72</v>
      </c>
      <c r="L30" s="75">
        <v>190</v>
      </c>
      <c r="M30" s="26">
        <v>25</v>
      </c>
      <c r="N30" s="5"/>
      <c r="O30" s="5"/>
      <c r="P30" s="118"/>
      <c r="Q30" s="114">
        <f>H44-4</f>
        <v>1860.4805760000002</v>
      </c>
      <c r="R30" s="114">
        <f>H44-2</f>
        <v>1862.4805760000002</v>
      </c>
      <c r="S30" s="114">
        <f>H44-2</f>
        <v>1862.4805760000002</v>
      </c>
      <c r="T30" s="114">
        <f>H44-2</f>
        <v>1862.4805760000002</v>
      </c>
      <c r="U30" s="114">
        <f>H44-2</f>
        <v>1862.4805760000002</v>
      </c>
      <c r="V30" s="114">
        <f>H44-4</f>
        <v>1860.4805760000002</v>
      </c>
      <c r="W30" s="119"/>
    </row>
    <row r="31" spans="2:23" x14ac:dyDescent="0.35">
      <c r="B31" s="46"/>
      <c r="C31" s="7"/>
      <c r="D31" s="7"/>
      <c r="E31" s="10"/>
      <c r="F31" s="9"/>
      <c r="G31" s="154"/>
      <c r="H31" s="154"/>
      <c r="I31" s="154"/>
      <c r="J31" s="83" t="s">
        <v>64</v>
      </c>
      <c r="K31" s="25">
        <v>105</v>
      </c>
      <c r="L31" s="25">
        <v>105</v>
      </c>
      <c r="M31" s="26">
        <v>23.6</v>
      </c>
      <c r="N31" s="5"/>
      <c r="O31" s="5"/>
      <c r="P31" s="118"/>
      <c r="Q31" s="114">
        <f>H44-4</f>
        <v>1860.4805760000002</v>
      </c>
      <c r="R31" s="114">
        <f>H44-2</f>
        <v>1862.4805760000002</v>
      </c>
      <c r="S31" s="114">
        <f>H44</f>
        <v>1864.4805760000002</v>
      </c>
      <c r="T31" s="114">
        <f>H44</f>
        <v>1864.4805760000002</v>
      </c>
      <c r="U31" s="114">
        <f>H44-2</f>
        <v>1862.4805760000002</v>
      </c>
      <c r="V31" s="114">
        <f>H44-4</f>
        <v>1860.4805760000002</v>
      </c>
      <c r="W31" s="119"/>
    </row>
    <row r="32" spans="2:23" ht="14.6" thickBot="1" x14ac:dyDescent="0.4">
      <c r="B32" s="46"/>
      <c r="C32" s="7"/>
      <c r="D32" s="7"/>
      <c r="E32" s="10"/>
      <c r="F32" s="9"/>
      <c r="G32" s="155"/>
      <c r="H32" s="155"/>
      <c r="I32" s="155"/>
      <c r="J32" s="84" t="s">
        <v>65</v>
      </c>
      <c r="K32" s="75">
        <v>210</v>
      </c>
      <c r="L32" s="75">
        <v>210</v>
      </c>
      <c r="M32" s="26">
        <v>27.1</v>
      </c>
      <c r="N32" s="5"/>
      <c r="O32" s="5"/>
      <c r="P32" s="118"/>
      <c r="Q32" s="114">
        <f>H44-4</f>
        <v>1860.4805760000002</v>
      </c>
      <c r="R32" s="114">
        <f>H44-2</f>
        <v>1862.4805760000002</v>
      </c>
      <c r="S32" s="114">
        <f>H44</f>
        <v>1864.4805760000002</v>
      </c>
      <c r="T32" s="114">
        <f>H44</f>
        <v>1864.4805760000002</v>
      </c>
      <c r="U32" s="114">
        <f>H44-2</f>
        <v>1862.4805760000002</v>
      </c>
      <c r="V32" s="114">
        <f>H44-4</f>
        <v>1860.4805760000002</v>
      </c>
      <c r="W32" s="119"/>
    </row>
    <row r="33" spans="2:23" x14ac:dyDescent="0.35">
      <c r="B33" s="64"/>
      <c r="C33" s="7"/>
      <c r="D33" s="7"/>
      <c r="E33" s="10"/>
      <c r="F33" s="9"/>
      <c r="G33" s="111" t="s">
        <v>104</v>
      </c>
      <c r="H33" s="109" t="s">
        <v>108</v>
      </c>
      <c r="I33" s="110" t="s">
        <v>105</v>
      </c>
      <c r="J33" s="84" t="s">
        <v>97</v>
      </c>
      <c r="K33" s="41">
        <v>280</v>
      </c>
      <c r="L33" s="41">
        <v>0</v>
      </c>
      <c r="M33" s="39">
        <v>26.5</v>
      </c>
      <c r="N33" s="5"/>
      <c r="O33" s="5"/>
      <c r="P33" s="118"/>
      <c r="Q33" s="114">
        <f>H44-4</f>
        <v>1860.4805760000002</v>
      </c>
      <c r="R33" s="114">
        <f>H44-2</f>
        <v>1862.4805760000002</v>
      </c>
      <c r="S33" s="114">
        <f>H44-2</f>
        <v>1862.4805760000002</v>
      </c>
      <c r="T33" s="114">
        <f>H44-2</f>
        <v>1862.4805760000002</v>
      </c>
      <c r="U33" s="114">
        <f>H44-2</f>
        <v>1862.4805760000002</v>
      </c>
      <c r="V33" s="114">
        <f>H44-4</f>
        <v>1860.4805760000002</v>
      </c>
      <c r="W33" s="119"/>
    </row>
    <row r="34" spans="2:23" ht="14.6" thickBot="1" x14ac:dyDescent="0.4">
      <c r="B34" s="46"/>
      <c r="C34" s="7"/>
      <c r="D34" s="7"/>
      <c r="E34" s="10"/>
      <c r="F34" s="9"/>
      <c r="G34" s="65" t="s">
        <v>109</v>
      </c>
      <c r="H34" s="4" t="s">
        <v>106</v>
      </c>
      <c r="I34" s="40" t="s">
        <v>107</v>
      </c>
      <c r="J34" s="84" t="s">
        <v>49</v>
      </c>
      <c r="K34" s="75">
        <v>100</v>
      </c>
      <c r="L34" s="75">
        <v>0</v>
      </c>
      <c r="M34" s="26">
        <v>23.8</v>
      </c>
      <c r="N34" s="5"/>
      <c r="O34" s="5"/>
      <c r="P34" s="118"/>
      <c r="Q34" s="114">
        <f>H44-4</f>
        <v>1860.4805760000002</v>
      </c>
      <c r="R34" s="114">
        <f>H44-4</f>
        <v>1860.4805760000002</v>
      </c>
      <c r="S34" s="114">
        <f>H44-4</f>
        <v>1860.4805760000002</v>
      </c>
      <c r="T34" s="114">
        <f>H44-4</f>
        <v>1860.4805760000002</v>
      </c>
      <c r="U34" s="114">
        <f>H44-4</f>
        <v>1860.4805760000002</v>
      </c>
      <c r="V34" s="114">
        <f>H44-4</f>
        <v>1860.4805760000002</v>
      </c>
      <c r="W34" s="119"/>
    </row>
    <row r="35" spans="2:23" ht="14.6" thickBot="1" x14ac:dyDescent="0.4">
      <c r="B35" s="46"/>
      <c r="C35" s="7"/>
      <c r="D35" s="7"/>
      <c r="E35" s="10"/>
      <c r="F35" s="9"/>
      <c r="G35" s="95" t="s">
        <v>33</v>
      </c>
      <c r="H35" s="67">
        <v>35</v>
      </c>
      <c r="I35" s="77" t="s">
        <v>19</v>
      </c>
      <c r="J35" s="85" t="s">
        <v>98</v>
      </c>
      <c r="K35" s="75">
        <v>80</v>
      </c>
      <c r="L35" s="75">
        <v>0</v>
      </c>
      <c r="M35" s="26">
        <v>23.4</v>
      </c>
      <c r="N35" s="5"/>
      <c r="O35" s="5"/>
      <c r="P35" s="120"/>
      <c r="Q35" s="121"/>
      <c r="R35" s="121"/>
      <c r="S35" s="121"/>
      <c r="T35" s="121"/>
      <c r="U35" s="121"/>
      <c r="V35" s="121"/>
      <c r="W35" s="122"/>
    </row>
    <row r="36" spans="2:23" x14ac:dyDescent="0.35">
      <c r="B36" s="46"/>
      <c r="C36" s="7"/>
      <c r="D36" s="7"/>
      <c r="E36" s="10"/>
      <c r="F36" s="9"/>
      <c r="G36" s="91" t="s">
        <v>34</v>
      </c>
      <c r="H36" s="67">
        <v>0</v>
      </c>
      <c r="I36" s="2" t="s">
        <v>19</v>
      </c>
      <c r="J36" s="85" t="s">
        <v>50</v>
      </c>
      <c r="K36" s="41">
        <v>56</v>
      </c>
      <c r="L36" s="41">
        <v>0</v>
      </c>
      <c r="M36" s="39">
        <v>21.6</v>
      </c>
      <c r="N36" s="9"/>
      <c r="O36" s="5"/>
      <c r="P36" s="5"/>
    </row>
    <row r="37" spans="2:23" x14ac:dyDescent="0.35">
      <c r="B37" s="46"/>
      <c r="C37" s="7"/>
      <c r="D37" s="7"/>
      <c r="E37" s="10"/>
      <c r="F37" s="9"/>
      <c r="G37" s="91" t="s">
        <v>35</v>
      </c>
      <c r="H37" s="67">
        <v>0</v>
      </c>
      <c r="I37" s="2" t="s">
        <v>19</v>
      </c>
      <c r="J37" s="85" t="s">
        <v>90</v>
      </c>
      <c r="K37" s="75">
        <v>44</v>
      </c>
      <c r="L37" s="75">
        <v>0</v>
      </c>
      <c r="M37" s="26">
        <v>21.5</v>
      </c>
      <c r="N37" s="9"/>
      <c r="O37" s="5"/>
      <c r="P37" s="5"/>
    </row>
    <row r="38" spans="2:23" x14ac:dyDescent="0.35">
      <c r="B38" s="46"/>
      <c r="C38" s="7"/>
      <c r="D38" s="7"/>
      <c r="E38" s="10"/>
      <c r="F38" s="9"/>
      <c r="G38" s="91" t="s">
        <v>36</v>
      </c>
      <c r="H38" s="67">
        <v>0</v>
      </c>
      <c r="I38" s="2" t="s">
        <v>19</v>
      </c>
      <c r="J38" s="85" t="s">
        <v>91</v>
      </c>
      <c r="K38" s="75">
        <v>22.5</v>
      </c>
      <c r="L38" s="75">
        <v>0</v>
      </c>
      <c r="M38" s="26">
        <v>21.4</v>
      </c>
      <c r="N38" s="9"/>
      <c r="O38" s="5"/>
      <c r="P38" s="5"/>
    </row>
    <row r="39" spans="2:23" x14ac:dyDescent="0.35">
      <c r="B39" s="60" t="s">
        <v>71</v>
      </c>
      <c r="C39" s="7"/>
      <c r="D39" s="7"/>
      <c r="E39" s="10"/>
      <c r="F39" s="9"/>
      <c r="G39" s="91" t="s">
        <v>39</v>
      </c>
      <c r="H39" s="67">
        <v>0</v>
      </c>
      <c r="I39" s="2" t="s">
        <v>19</v>
      </c>
      <c r="J39" s="85" t="s">
        <v>92</v>
      </c>
      <c r="K39" s="75">
        <v>17</v>
      </c>
      <c r="L39" s="75">
        <v>0</v>
      </c>
      <c r="M39" s="26">
        <v>21</v>
      </c>
      <c r="O39" s="5"/>
      <c r="P39" s="5"/>
    </row>
    <row r="40" spans="2:23" ht="14.6" thickBot="1" x14ac:dyDescent="0.4">
      <c r="B40" s="63" t="s">
        <v>72</v>
      </c>
      <c r="C40" s="61"/>
      <c r="D40" s="61"/>
      <c r="E40" s="62"/>
      <c r="F40" s="9"/>
      <c r="G40" s="91" t="s">
        <v>40</v>
      </c>
      <c r="H40" s="67">
        <v>0</v>
      </c>
      <c r="I40" s="2" t="s">
        <v>19</v>
      </c>
      <c r="J40" s="85" t="s">
        <v>93</v>
      </c>
      <c r="K40" s="75">
        <v>14.3</v>
      </c>
      <c r="L40" s="75">
        <v>0</v>
      </c>
      <c r="M40" s="26">
        <v>15.8</v>
      </c>
      <c r="P40" s="5"/>
    </row>
    <row r="41" spans="2:23" x14ac:dyDescent="0.35">
      <c r="B41" s="56" t="s">
        <v>74</v>
      </c>
      <c r="C41" s="47"/>
      <c r="D41" s="47"/>
      <c r="E41" s="38"/>
      <c r="F41" s="9"/>
      <c r="G41" s="91" t="s">
        <v>43</v>
      </c>
      <c r="H41" s="67">
        <v>0</v>
      </c>
      <c r="I41" s="2" t="s">
        <v>19</v>
      </c>
      <c r="J41" s="85" t="s">
        <v>94</v>
      </c>
      <c r="K41" s="75">
        <v>8</v>
      </c>
      <c r="L41" s="75">
        <v>0</v>
      </c>
      <c r="M41" s="26">
        <v>15.6</v>
      </c>
      <c r="P41" s="5"/>
    </row>
    <row r="42" spans="2:23" ht="14.6" thickBot="1" x14ac:dyDescent="0.4">
      <c r="B42" s="48"/>
      <c r="C42" s="49"/>
      <c r="D42" s="49"/>
      <c r="E42" s="34"/>
      <c r="F42" s="32"/>
      <c r="G42" s="92" t="s">
        <v>44</v>
      </c>
      <c r="H42" s="67">
        <v>0</v>
      </c>
      <c r="I42" s="3" t="s">
        <v>19</v>
      </c>
      <c r="J42" s="85" t="s">
        <v>95</v>
      </c>
      <c r="K42" s="75">
        <v>7</v>
      </c>
      <c r="L42" s="75">
        <v>0</v>
      </c>
      <c r="M42" s="26">
        <v>15.6</v>
      </c>
      <c r="P42" s="5"/>
    </row>
    <row r="43" spans="2:23" ht="14.6" thickBot="1" x14ac:dyDescent="0.4">
      <c r="B43" s="48"/>
      <c r="C43" s="49"/>
      <c r="D43" s="49"/>
      <c r="E43" s="34"/>
      <c r="F43" s="32"/>
      <c r="G43" s="90" t="s">
        <v>58</v>
      </c>
      <c r="H43" s="73">
        <f>L26*H26</f>
        <v>1779.4805760000002</v>
      </c>
      <c r="I43" s="72" t="s">
        <v>47</v>
      </c>
      <c r="J43" s="99" t="s">
        <v>96</v>
      </c>
      <c r="K43" s="76">
        <v>2.8</v>
      </c>
      <c r="L43" s="76">
        <v>0</v>
      </c>
      <c r="M43" s="29">
        <v>15.3</v>
      </c>
      <c r="P43" s="5"/>
    </row>
    <row r="44" spans="2:23" ht="18.45" thickBot="1" x14ac:dyDescent="0.5">
      <c r="B44" s="48"/>
      <c r="C44" s="49"/>
      <c r="D44" s="49"/>
      <c r="E44" s="34"/>
      <c r="F44" s="9"/>
      <c r="G44" s="96" t="s">
        <v>57</v>
      </c>
      <c r="H44" s="23">
        <f>H23+H43</f>
        <v>1864.4805760000002</v>
      </c>
      <c r="I44" s="100" t="s">
        <v>47</v>
      </c>
      <c r="J44" s="139" t="str">
        <f>IF(H44&gt;=150,"WARNING","OK")</f>
        <v>WARNING</v>
      </c>
      <c r="K44" s="139"/>
      <c r="L44" s="139"/>
      <c r="M44" s="140"/>
      <c r="N44" s="5"/>
      <c r="P44" s="5"/>
    </row>
    <row r="45" spans="2:23" x14ac:dyDescent="0.35">
      <c r="B45" s="48"/>
      <c r="C45" s="49"/>
      <c r="D45" s="49"/>
      <c r="E45" s="34"/>
      <c r="F45" s="33"/>
      <c r="I45" s="5"/>
      <c r="N45" s="5"/>
      <c r="P45" s="5"/>
    </row>
    <row r="46" spans="2:23" ht="14.6" thickBot="1" x14ac:dyDescent="0.4">
      <c r="B46" s="48"/>
      <c r="C46" s="49"/>
      <c r="D46" s="49"/>
      <c r="E46" s="34"/>
      <c r="F46" s="33"/>
      <c r="I46" s="5"/>
      <c r="N46" s="5"/>
      <c r="P46" s="5"/>
    </row>
    <row r="47" spans="2:23" x14ac:dyDescent="0.35">
      <c r="B47" s="48"/>
      <c r="C47" s="49"/>
      <c r="D47" s="49"/>
      <c r="E47" s="34"/>
      <c r="F47" s="33"/>
      <c r="G47" s="129" t="str">
        <f>$G$12</f>
        <v>VND7E025AJTR</v>
      </c>
      <c r="H47" s="130"/>
      <c r="I47" s="5"/>
      <c r="N47" s="5"/>
      <c r="P47" s="5"/>
    </row>
    <row r="48" spans="2:23" x14ac:dyDescent="0.35">
      <c r="B48" s="48"/>
      <c r="C48" s="49"/>
      <c r="D48" s="49"/>
      <c r="E48" s="34"/>
      <c r="F48" s="33"/>
      <c r="G48" s="42" t="s">
        <v>78</v>
      </c>
      <c r="H48" s="53">
        <f>INDEX(C64:C129,MATCH(ABS(0.001),M64:M129,-1))</f>
        <v>25.2</v>
      </c>
      <c r="I48" s="5"/>
      <c r="N48" s="5"/>
      <c r="P48" s="5"/>
    </row>
    <row r="49" spans="2:16" ht="14.6" thickBot="1" x14ac:dyDescent="0.4">
      <c r="B49" s="48"/>
      <c r="C49" s="49"/>
      <c r="D49" s="49"/>
      <c r="E49" s="34"/>
      <c r="F49" s="33"/>
      <c r="G49" s="43" t="s">
        <v>86</v>
      </c>
      <c r="H49" s="54">
        <f>INDEX(D64:D129,MATCH(ABS(0.001),M64:M129,-1))</f>
        <v>190</v>
      </c>
      <c r="N49" s="5"/>
      <c r="P49" s="5"/>
    </row>
    <row r="50" spans="2:16" x14ac:dyDescent="0.35">
      <c r="B50" s="48"/>
      <c r="C50" s="49"/>
      <c r="D50" s="49"/>
      <c r="E50" s="34"/>
      <c r="F50" s="33"/>
      <c r="P50" s="5"/>
    </row>
    <row r="51" spans="2:16" x14ac:dyDescent="0.35">
      <c r="B51" s="48"/>
      <c r="C51" s="49"/>
      <c r="D51" s="49"/>
      <c r="E51" s="34"/>
      <c r="F51" s="33"/>
      <c r="N51" s="5"/>
      <c r="P51" s="5"/>
    </row>
    <row r="52" spans="2:16" x14ac:dyDescent="0.35">
      <c r="B52" s="57" t="s">
        <v>73</v>
      </c>
      <c r="C52" s="58"/>
      <c r="D52" s="58"/>
      <c r="E52" s="59"/>
      <c r="F52" s="33"/>
      <c r="G52" s="5"/>
      <c r="H52" s="5"/>
      <c r="I52" s="5"/>
      <c r="J52" s="103"/>
      <c r="N52" s="5"/>
      <c r="O52" s="5"/>
      <c r="P52" s="5"/>
    </row>
    <row r="53" spans="2:16" ht="14.6" thickBot="1" x14ac:dyDescent="0.4">
      <c r="B53" s="136" t="s">
        <v>75</v>
      </c>
      <c r="C53" s="137"/>
      <c r="D53" s="137"/>
      <c r="E53" s="138"/>
      <c r="F53" s="33"/>
      <c r="N53" s="5"/>
      <c r="O53" s="5"/>
      <c r="P53" s="5"/>
    </row>
    <row r="54" spans="2:16" x14ac:dyDescent="0.35">
      <c r="F54" s="33"/>
      <c r="N54" s="5"/>
      <c r="O54" s="5"/>
      <c r="P54" s="5"/>
    </row>
    <row r="55" spans="2:16" x14ac:dyDescent="0.35">
      <c r="F55" s="35"/>
      <c r="N55" s="5"/>
      <c r="O55" s="5"/>
      <c r="P55" s="5"/>
    </row>
    <row r="56" spans="2:16" x14ac:dyDescent="0.35">
      <c r="F56" s="36"/>
      <c r="N56" s="5"/>
      <c r="O56" s="5"/>
      <c r="P56" s="5"/>
    </row>
    <row r="57" spans="2:16" x14ac:dyDescent="0.35">
      <c r="N57" s="5"/>
      <c r="O57" s="5"/>
      <c r="P57" s="5"/>
    </row>
    <row r="58" spans="2:16" x14ac:dyDescent="0.35">
      <c r="N58" s="5"/>
      <c r="O58" s="5"/>
      <c r="P58" s="5"/>
    </row>
    <row r="59" spans="2:16" x14ac:dyDescent="0.35">
      <c r="N59" s="5"/>
      <c r="O59" s="5"/>
      <c r="P59" s="5"/>
    </row>
    <row r="60" spans="2:16" x14ac:dyDescent="0.35">
      <c r="N60" s="5"/>
      <c r="O60" s="5"/>
      <c r="P60" s="5"/>
    </row>
    <row r="61" spans="2:16" x14ac:dyDescent="0.35">
      <c r="B61" s="128" t="s">
        <v>77</v>
      </c>
      <c r="C61" s="128"/>
      <c r="D61" s="128"/>
      <c r="E61" s="128"/>
      <c r="F61" s="128"/>
      <c r="G61" s="128"/>
      <c r="H61" s="128"/>
      <c r="I61" s="128"/>
      <c r="J61" s="128"/>
      <c r="K61" s="128"/>
      <c r="N61" s="5"/>
      <c r="O61" s="5"/>
      <c r="P61" s="5"/>
    </row>
    <row r="62" spans="2:16" x14ac:dyDescent="0.35">
      <c r="B62" s="66"/>
      <c r="C62" s="66" t="s">
        <v>78</v>
      </c>
      <c r="D62" s="66" t="s">
        <v>86</v>
      </c>
      <c r="E62" s="66" t="s">
        <v>87</v>
      </c>
      <c r="F62" s="66" t="s">
        <v>79</v>
      </c>
      <c r="G62" s="66" t="s">
        <v>80</v>
      </c>
      <c r="H62" s="66" t="s">
        <v>81</v>
      </c>
      <c r="I62" s="66" t="s">
        <v>82</v>
      </c>
      <c r="J62" s="66" t="s">
        <v>88</v>
      </c>
      <c r="K62" s="66" t="s">
        <v>83</v>
      </c>
      <c r="L62" s="66" t="s">
        <v>84</v>
      </c>
      <c r="M62" s="66" t="s">
        <v>85</v>
      </c>
      <c r="P62" s="5"/>
    </row>
    <row r="63" spans="2:16" x14ac:dyDescent="0.35">
      <c r="B63" s="6">
        <v>25</v>
      </c>
      <c r="C63" s="50">
        <v>7.6</v>
      </c>
      <c r="D63" s="50">
        <f>IF($G$12="VN9D5D20FN",0.188*B63 + 15.3,0.8*B63 + 70)</f>
        <v>90</v>
      </c>
      <c r="E63" s="51">
        <f t="shared" ref="E63:E94" si="2">C63*10^-3*$H$35^2*$K$13+$H$22/10^6*$H$35*$H$28*$J$13/6</f>
        <v>9.31</v>
      </c>
      <c r="F63" s="51">
        <f t="shared" ref="F63:F94" si="3">C63*10^-3*$H$36^2*$K$14+$H$22/10^6*$H$36*$H$28*$J$14/6</f>
        <v>0</v>
      </c>
      <c r="G63" s="51">
        <f t="shared" ref="G63:G94" si="4">D63*10^-3*$H$37^2*$K$15+$H$22/10^6*$H$37*$H$28*$J$15/6</f>
        <v>0</v>
      </c>
      <c r="H63" s="51">
        <f t="shared" ref="H63:H94" si="5">D63*10^-3*$H$38^2*$K$16+$H$22/10^6*$H$38*$H$28*$J$16/6</f>
        <v>0</v>
      </c>
      <c r="I63" s="51">
        <f t="shared" ref="I63:I94" si="6">IF($G$12="VN9D30Q100F",D63*10^-3*$H$39^2*$K$17+$H$22/10^6*$H$39*$H$28*$J$17/6,0)</f>
        <v>0</v>
      </c>
      <c r="J63" s="51">
        <f t="shared" ref="J63:J94" si="7">IF($G$12="VN9D30Q100F",D63*10^-3*$H$40^2*$K$18+$H$22/10^6*$H$40*$H$28*$J$18/6,0)</f>
        <v>0</v>
      </c>
      <c r="K63" s="51">
        <f t="shared" ref="K63:K94" si="8">E63+F63+G63+H63+($H$29/1000)*$H$28</f>
        <v>9.3628</v>
      </c>
      <c r="L63" s="44"/>
      <c r="M63" s="44"/>
      <c r="P63" s="5"/>
    </row>
    <row r="64" spans="2:16" x14ac:dyDescent="0.35">
      <c r="B64" s="6">
        <v>85</v>
      </c>
      <c r="C64" s="50">
        <f t="shared" ref="C64:C127" si="9">IF($G$12="VN9D5D20FN",0.056*B64 + 4.4,0.312*B65 + 25.2)</f>
        <v>52.031999999999996</v>
      </c>
      <c r="D64" s="50">
        <f t="shared" ref="D64:D127" si="10">IF($G$12="VN9D5D20FN",0.188*B64 + 15.3,0.8*B64 + 70)</f>
        <v>138</v>
      </c>
      <c r="E64" s="51">
        <f t="shared" si="2"/>
        <v>63.739199999999997</v>
      </c>
      <c r="F64" s="51">
        <f t="shared" si="3"/>
        <v>0</v>
      </c>
      <c r="G64" s="51">
        <f t="shared" si="4"/>
        <v>0</v>
      </c>
      <c r="H64" s="51">
        <f t="shared" si="5"/>
        <v>0</v>
      </c>
      <c r="I64" s="51">
        <f t="shared" si="6"/>
        <v>0</v>
      </c>
      <c r="J64" s="51">
        <f t="shared" si="7"/>
        <v>0</v>
      </c>
      <c r="K64" s="51">
        <f t="shared" si="8"/>
        <v>63.791999999999994</v>
      </c>
      <c r="L64" s="44">
        <f t="shared" ref="L64:L95" si="11">K64*$M$30+$H$23</f>
        <v>1679.8</v>
      </c>
      <c r="M64" s="44">
        <f t="shared" ref="M64:M95" si="12">L64-B64</f>
        <v>1594.8</v>
      </c>
      <c r="P64" s="5"/>
    </row>
    <row r="65" spans="2:16" x14ac:dyDescent="0.35">
      <c r="B65" s="6">
        <v>86</v>
      </c>
      <c r="C65" s="50">
        <f t="shared" si="9"/>
        <v>52.343999999999994</v>
      </c>
      <c r="D65" s="50">
        <f t="shared" si="10"/>
        <v>138.80000000000001</v>
      </c>
      <c r="E65" s="51">
        <f t="shared" si="2"/>
        <v>64.121399999999994</v>
      </c>
      <c r="F65" s="51">
        <f t="shared" si="3"/>
        <v>0</v>
      </c>
      <c r="G65" s="51">
        <f t="shared" si="4"/>
        <v>0</v>
      </c>
      <c r="H65" s="51">
        <f t="shared" si="5"/>
        <v>0</v>
      </c>
      <c r="I65" s="51">
        <f t="shared" si="6"/>
        <v>0</v>
      </c>
      <c r="J65" s="51">
        <f t="shared" si="7"/>
        <v>0</v>
      </c>
      <c r="K65" s="51">
        <f t="shared" si="8"/>
        <v>64.174199999999999</v>
      </c>
      <c r="L65" s="44">
        <f t="shared" si="11"/>
        <v>1689.355</v>
      </c>
      <c r="M65" s="44">
        <f t="shared" si="12"/>
        <v>1603.355</v>
      </c>
      <c r="P65" s="5"/>
    </row>
    <row r="66" spans="2:16" x14ac:dyDescent="0.35">
      <c r="B66" s="6">
        <v>87</v>
      </c>
      <c r="C66" s="50">
        <f t="shared" si="9"/>
        <v>52.655999999999999</v>
      </c>
      <c r="D66" s="50">
        <f t="shared" si="10"/>
        <v>139.60000000000002</v>
      </c>
      <c r="E66" s="51">
        <f t="shared" si="2"/>
        <v>64.503600000000006</v>
      </c>
      <c r="F66" s="51">
        <f t="shared" si="3"/>
        <v>0</v>
      </c>
      <c r="G66" s="51">
        <f t="shared" si="4"/>
        <v>0</v>
      </c>
      <c r="H66" s="51">
        <f t="shared" si="5"/>
        <v>0</v>
      </c>
      <c r="I66" s="51">
        <f t="shared" si="6"/>
        <v>0</v>
      </c>
      <c r="J66" s="51">
        <f t="shared" si="7"/>
        <v>0</v>
      </c>
      <c r="K66" s="51">
        <f t="shared" si="8"/>
        <v>64.556400000000011</v>
      </c>
      <c r="L66" s="44">
        <f t="shared" si="11"/>
        <v>1698.9100000000003</v>
      </c>
      <c r="M66" s="44">
        <f t="shared" si="12"/>
        <v>1611.9100000000003</v>
      </c>
    </row>
    <row r="67" spans="2:16" x14ac:dyDescent="0.35">
      <c r="B67" s="6">
        <v>88</v>
      </c>
      <c r="C67" s="50">
        <f t="shared" si="9"/>
        <v>52.968000000000004</v>
      </c>
      <c r="D67" s="50">
        <f t="shared" si="10"/>
        <v>140.4</v>
      </c>
      <c r="E67" s="51">
        <f t="shared" si="2"/>
        <v>64.885800000000003</v>
      </c>
      <c r="F67" s="51">
        <f t="shared" si="3"/>
        <v>0</v>
      </c>
      <c r="G67" s="51">
        <f t="shared" si="4"/>
        <v>0</v>
      </c>
      <c r="H67" s="51">
        <f t="shared" si="5"/>
        <v>0</v>
      </c>
      <c r="I67" s="51">
        <f t="shared" si="6"/>
        <v>0</v>
      </c>
      <c r="J67" s="51">
        <f t="shared" si="7"/>
        <v>0</v>
      </c>
      <c r="K67" s="51">
        <f t="shared" si="8"/>
        <v>64.938600000000008</v>
      </c>
      <c r="L67" s="44">
        <f t="shared" si="11"/>
        <v>1708.4650000000001</v>
      </c>
      <c r="M67" s="44">
        <f t="shared" si="12"/>
        <v>1620.4650000000001</v>
      </c>
    </row>
    <row r="68" spans="2:16" x14ac:dyDescent="0.35">
      <c r="B68" s="6">
        <v>89</v>
      </c>
      <c r="C68" s="50">
        <f t="shared" si="9"/>
        <v>53.28</v>
      </c>
      <c r="D68" s="50">
        <f t="shared" si="10"/>
        <v>141.19999999999999</v>
      </c>
      <c r="E68" s="51">
        <f t="shared" si="2"/>
        <v>65.268000000000001</v>
      </c>
      <c r="F68" s="51">
        <f t="shared" si="3"/>
        <v>0</v>
      </c>
      <c r="G68" s="51">
        <f t="shared" si="4"/>
        <v>0</v>
      </c>
      <c r="H68" s="51">
        <f t="shared" si="5"/>
        <v>0</v>
      </c>
      <c r="I68" s="51">
        <f t="shared" si="6"/>
        <v>0</v>
      </c>
      <c r="J68" s="51">
        <f t="shared" si="7"/>
        <v>0</v>
      </c>
      <c r="K68" s="51">
        <f t="shared" si="8"/>
        <v>65.320800000000006</v>
      </c>
      <c r="L68" s="44">
        <f t="shared" si="11"/>
        <v>1718.0200000000002</v>
      </c>
      <c r="M68" s="44">
        <f t="shared" si="12"/>
        <v>1629.0200000000002</v>
      </c>
    </row>
    <row r="69" spans="2:16" x14ac:dyDescent="0.35">
      <c r="B69" s="6">
        <v>90</v>
      </c>
      <c r="C69" s="50">
        <f t="shared" si="9"/>
        <v>53.591999999999999</v>
      </c>
      <c r="D69" s="50">
        <f t="shared" si="10"/>
        <v>142</v>
      </c>
      <c r="E69" s="51">
        <f t="shared" si="2"/>
        <v>65.650199999999998</v>
      </c>
      <c r="F69" s="51">
        <f t="shared" si="3"/>
        <v>0</v>
      </c>
      <c r="G69" s="51">
        <f t="shared" si="4"/>
        <v>0</v>
      </c>
      <c r="H69" s="51">
        <f t="shared" si="5"/>
        <v>0</v>
      </c>
      <c r="I69" s="51">
        <f t="shared" si="6"/>
        <v>0</v>
      </c>
      <c r="J69" s="51">
        <f t="shared" si="7"/>
        <v>0</v>
      </c>
      <c r="K69" s="51">
        <f t="shared" si="8"/>
        <v>65.703000000000003</v>
      </c>
      <c r="L69" s="44">
        <f t="shared" si="11"/>
        <v>1727.575</v>
      </c>
      <c r="M69" s="44">
        <f t="shared" si="12"/>
        <v>1637.575</v>
      </c>
    </row>
    <row r="70" spans="2:16" x14ac:dyDescent="0.35">
      <c r="B70" s="6">
        <v>91</v>
      </c>
      <c r="C70" s="50">
        <f t="shared" si="9"/>
        <v>53.903999999999996</v>
      </c>
      <c r="D70" s="50">
        <f t="shared" si="10"/>
        <v>142.80000000000001</v>
      </c>
      <c r="E70" s="51">
        <f t="shared" si="2"/>
        <v>66.032399999999996</v>
      </c>
      <c r="F70" s="51">
        <f t="shared" si="3"/>
        <v>0</v>
      </c>
      <c r="G70" s="51">
        <f t="shared" si="4"/>
        <v>0</v>
      </c>
      <c r="H70" s="51">
        <f t="shared" si="5"/>
        <v>0</v>
      </c>
      <c r="I70" s="51">
        <f t="shared" si="6"/>
        <v>0</v>
      </c>
      <c r="J70" s="51">
        <f t="shared" si="7"/>
        <v>0</v>
      </c>
      <c r="K70" s="51">
        <f t="shared" si="8"/>
        <v>66.0852</v>
      </c>
      <c r="L70" s="44">
        <f t="shared" si="11"/>
        <v>1737.13</v>
      </c>
      <c r="M70" s="44">
        <f t="shared" si="12"/>
        <v>1646.13</v>
      </c>
    </row>
    <row r="71" spans="2:16" x14ac:dyDescent="0.35">
      <c r="B71" s="6">
        <v>92</v>
      </c>
      <c r="C71" s="50">
        <f t="shared" si="9"/>
        <v>54.215999999999994</v>
      </c>
      <c r="D71" s="50">
        <f t="shared" si="10"/>
        <v>143.60000000000002</v>
      </c>
      <c r="E71" s="51">
        <f t="shared" si="2"/>
        <v>66.414599999999993</v>
      </c>
      <c r="F71" s="51">
        <f t="shared" si="3"/>
        <v>0</v>
      </c>
      <c r="G71" s="51">
        <f t="shared" si="4"/>
        <v>0</v>
      </c>
      <c r="H71" s="51">
        <f t="shared" si="5"/>
        <v>0</v>
      </c>
      <c r="I71" s="51">
        <f t="shared" si="6"/>
        <v>0</v>
      </c>
      <c r="J71" s="51">
        <f t="shared" si="7"/>
        <v>0</v>
      </c>
      <c r="K71" s="51">
        <f t="shared" si="8"/>
        <v>66.467399999999998</v>
      </c>
      <c r="L71" s="44">
        <f t="shared" si="11"/>
        <v>1746.6849999999999</v>
      </c>
      <c r="M71" s="44">
        <f t="shared" si="12"/>
        <v>1654.6849999999999</v>
      </c>
    </row>
    <row r="72" spans="2:16" x14ac:dyDescent="0.35">
      <c r="B72" s="6">
        <v>93</v>
      </c>
      <c r="C72" s="50">
        <f t="shared" si="9"/>
        <v>54.527999999999999</v>
      </c>
      <c r="D72" s="50">
        <f t="shared" si="10"/>
        <v>144.4</v>
      </c>
      <c r="E72" s="51">
        <f t="shared" si="2"/>
        <v>66.796800000000005</v>
      </c>
      <c r="F72" s="51">
        <f t="shared" si="3"/>
        <v>0</v>
      </c>
      <c r="G72" s="51">
        <f t="shared" si="4"/>
        <v>0</v>
      </c>
      <c r="H72" s="51">
        <f t="shared" si="5"/>
        <v>0</v>
      </c>
      <c r="I72" s="51">
        <f t="shared" si="6"/>
        <v>0</v>
      </c>
      <c r="J72" s="51">
        <f t="shared" si="7"/>
        <v>0</v>
      </c>
      <c r="K72" s="51">
        <f t="shared" si="8"/>
        <v>66.849600000000009</v>
      </c>
      <c r="L72" s="44">
        <f t="shared" si="11"/>
        <v>1756.2400000000002</v>
      </c>
      <c r="M72" s="44">
        <f t="shared" si="12"/>
        <v>1663.2400000000002</v>
      </c>
    </row>
    <row r="73" spans="2:16" x14ac:dyDescent="0.35">
      <c r="B73" s="6">
        <v>94</v>
      </c>
      <c r="C73" s="50">
        <f t="shared" si="9"/>
        <v>54.84</v>
      </c>
      <c r="D73" s="50">
        <f t="shared" si="10"/>
        <v>145.19999999999999</v>
      </c>
      <c r="E73" s="51">
        <f t="shared" si="2"/>
        <v>67.179000000000002</v>
      </c>
      <c r="F73" s="51">
        <f t="shared" si="3"/>
        <v>0</v>
      </c>
      <c r="G73" s="51">
        <f t="shared" si="4"/>
        <v>0</v>
      </c>
      <c r="H73" s="51">
        <f t="shared" si="5"/>
        <v>0</v>
      </c>
      <c r="I73" s="51">
        <f t="shared" si="6"/>
        <v>0</v>
      </c>
      <c r="J73" s="51">
        <f t="shared" si="7"/>
        <v>0</v>
      </c>
      <c r="K73" s="51">
        <f t="shared" si="8"/>
        <v>67.231800000000007</v>
      </c>
      <c r="L73" s="44">
        <f t="shared" si="11"/>
        <v>1765.7950000000001</v>
      </c>
      <c r="M73" s="44">
        <f t="shared" si="12"/>
        <v>1671.7950000000001</v>
      </c>
    </row>
    <row r="74" spans="2:16" x14ac:dyDescent="0.35">
      <c r="B74" s="6">
        <v>95</v>
      </c>
      <c r="C74" s="50">
        <f t="shared" si="9"/>
        <v>55.152000000000001</v>
      </c>
      <c r="D74" s="50">
        <f t="shared" si="10"/>
        <v>146</v>
      </c>
      <c r="E74" s="51">
        <f t="shared" si="2"/>
        <v>67.561199999999999</v>
      </c>
      <c r="F74" s="51">
        <f t="shared" si="3"/>
        <v>0</v>
      </c>
      <c r="G74" s="51">
        <f t="shared" si="4"/>
        <v>0</v>
      </c>
      <c r="H74" s="51">
        <f t="shared" si="5"/>
        <v>0</v>
      </c>
      <c r="I74" s="51">
        <f t="shared" si="6"/>
        <v>0</v>
      </c>
      <c r="J74" s="51">
        <f t="shared" si="7"/>
        <v>0</v>
      </c>
      <c r="K74" s="51">
        <f t="shared" si="8"/>
        <v>67.614000000000004</v>
      </c>
      <c r="L74" s="44">
        <f t="shared" si="11"/>
        <v>1775.3500000000001</v>
      </c>
      <c r="M74" s="44">
        <f t="shared" si="12"/>
        <v>1680.3500000000001</v>
      </c>
    </row>
    <row r="75" spans="2:16" x14ac:dyDescent="0.35">
      <c r="B75" s="6">
        <v>96</v>
      </c>
      <c r="C75" s="50">
        <f t="shared" si="9"/>
        <v>55.463999999999999</v>
      </c>
      <c r="D75" s="50">
        <f t="shared" si="10"/>
        <v>146.80000000000001</v>
      </c>
      <c r="E75" s="51">
        <f t="shared" si="2"/>
        <v>67.943399999999997</v>
      </c>
      <c r="F75" s="51">
        <f t="shared" si="3"/>
        <v>0</v>
      </c>
      <c r="G75" s="51">
        <f t="shared" si="4"/>
        <v>0</v>
      </c>
      <c r="H75" s="51">
        <f t="shared" si="5"/>
        <v>0</v>
      </c>
      <c r="I75" s="51">
        <f t="shared" si="6"/>
        <v>0</v>
      </c>
      <c r="J75" s="51">
        <f t="shared" si="7"/>
        <v>0</v>
      </c>
      <c r="K75" s="51">
        <f t="shared" si="8"/>
        <v>67.996200000000002</v>
      </c>
      <c r="L75" s="44">
        <f t="shared" si="11"/>
        <v>1784.905</v>
      </c>
      <c r="M75" s="44">
        <f t="shared" si="12"/>
        <v>1688.905</v>
      </c>
    </row>
    <row r="76" spans="2:16" x14ac:dyDescent="0.35">
      <c r="B76" s="6">
        <v>97</v>
      </c>
      <c r="C76" s="50">
        <f t="shared" si="9"/>
        <v>55.775999999999996</v>
      </c>
      <c r="D76" s="50">
        <f t="shared" si="10"/>
        <v>147.60000000000002</v>
      </c>
      <c r="E76" s="51">
        <f t="shared" si="2"/>
        <v>68.325599999999994</v>
      </c>
      <c r="F76" s="51">
        <f t="shared" si="3"/>
        <v>0</v>
      </c>
      <c r="G76" s="51">
        <f t="shared" si="4"/>
        <v>0</v>
      </c>
      <c r="H76" s="51">
        <f t="shared" si="5"/>
        <v>0</v>
      </c>
      <c r="I76" s="51">
        <f t="shared" si="6"/>
        <v>0</v>
      </c>
      <c r="J76" s="51">
        <f t="shared" si="7"/>
        <v>0</v>
      </c>
      <c r="K76" s="51">
        <f t="shared" si="8"/>
        <v>68.378399999999999</v>
      </c>
      <c r="L76" s="44">
        <f t="shared" si="11"/>
        <v>1794.46</v>
      </c>
      <c r="M76" s="44">
        <f t="shared" si="12"/>
        <v>1697.46</v>
      </c>
    </row>
    <row r="77" spans="2:16" x14ac:dyDescent="0.35">
      <c r="B77" s="6">
        <v>98</v>
      </c>
      <c r="C77" s="50">
        <f t="shared" si="9"/>
        <v>56.088000000000001</v>
      </c>
      <c r="D77" s="50">
        <f t="shared" si="10"/>
        <v>148.4</v>
      </c>
      <c r="E77" s="51">
        <f t="shared" si="2"/>
        <v>68.707799999999992</v>
      </c>
      <c r="F77" s="51">
        <f t="shared" si="3"/>
        <v>0</v>
      </c>
      <c r="G77" s="51">
        <f t="shared" si="4"/>
        <v>0</v>
      </c>
      <c r="H77" s="51">
        <f t="shared" si="5"/>
        <v>0</v>
      </c>
      <c r="I77" s="51">
        <f t="shared" si="6"/>
        <v>0</v>
      </c>
      <c r="J77" s="51">
        <f t="shared" si="7"/>
        <v>0</v>
      </c>
      <c r="K77" s="51">
        <f t="shared" si="8"/>
        <v>68.760599999999997</v>
      </c>
      <c r="L77" s="44">
        <f t="shared" si="11"/>
        <v>1804.0149999999999</v>
      </c>
      <c r="M77" s="44">
        <f t="shared" si="12"/>
        <v>1706.0149999999999</v>
      </c>
    </row>
    <row r="78" spans="2:16" x14ac:dyDescent="0.35">
      <c r="B78" s="6">
        <v>99</v>
      </c>
      <c r="C78" s="50">
        <f t="shared" si="9"/>
        <v>56.4</v>
      </c>
      <c r="D78" s="50">
        <f t="shared" si="10"/>
        <v>149.19999999999999</v>
      </c>
      <c r="E78" s="51">
        <f t="shared" si="2"/>
        <v>69.09</v>
      </c>
      <c r="F78" s="51">
        <f t="shared" si="3"/>
        <v>0</v>
      </c>
      <c r="G78" s="51">
        <f t="shared" si="4"/>
        <v>0</v>
      </c>
      <c r="H78" s="51">
        <f t="shared" si="5"/>
        <v>0</v>
      </c>
      <c r="I78" s="51">
        <f t="shared" si="6"/>
        <v>0</v>
      </c>
      <c r="J78" s="51">
        <f t="shared" si="7"/>
        <v>0</v>
      </c>
      <c r="K78" s="51">
        <f t="shared" si="8"/>
        <v>69.142800000000008</v>
      </c>
      <c r="L78" s="44">
        <f t="shared" si="11"/>
        <v>1813.5700000000002</v>
      </c>
      <c r="M78" s="44">
        <f t="shared" si="12"/>
        <v>1714.5700000000002</v>
      </c>
    </row>
    <row r="79" spans="2:16" x14ac:dyDescent="0.35">
      <c r="B79" s="6">
        <v>100</v>
      </c>
      <c r="C79" s="50">
        <f t="shared" si="9"/>
        <v>56.712000000000003</v>
      </c>
      <c r="D79" s="50">
        <f t="shared" si="10"/>
        <v>150</v>
      </c>
      <c r="E79" s="51">
        <f t="shared" si="2"/>
        <v>69.472200000000001</v>
      </c>
      <c r="F79" s="51">
        <f t="shared" si="3"/>
        <v>0</v>
      </c>
      <c r="G79" s="51">
        <f t="shared" si="4"/>
        <v>0</v>
      </c>
      <c r="H79" s="51">
        <f t="shared" si="5"/>
        <v>0</v>
      </c>
      <c r="I79" s="51">
        <f t="shared" si="6"/>
        <v>0</v>
      </c>
      <c r="J79" s="51">
        <f t="shared" si="7"/>
        <v>0</v>
      </c>
      <c r="K79" s="51">
        <f t="shared" si="8"/>
        <v>69.525000000000006</v>
      </c>
      <c r="L79" s="44">
        <f t="shared" si="11"/>
        <v>1823.1250000000002</v>
      </c>
      <c r="M79" s="44">
        <f t="shared" si="12"/>
        <v>1723.1250000000002</v>
      </c>
    </row>
    <row r="80" spans="2:16" x14ac:dyDescent="0.35">
      <c r="B80" s="6">
        <v>101</v>
      </c>
      <c r="C80" s="50">
        <f t="shared" si="9"/>
        <v>57.024000000000001</v>
      </c>
      <c r="D80" s="50">
        <f t="shared" si="10"/>
        <v>150.80000000000001</v>
      </c>
      <c r="E80" s="51">
        <f t="shared" si="2"/>
        <v>69.854400000000012</v>
      </c>
      <c r="F80" s="51">
        <f t="shared" si="3"/>
        <v>0</v>
      </c>
      <c r="G80" s="51">
        <f t="shared" si="4"/>
        <v>0</v>
      </c>
      <c r="H80" s="51">
        <f t="shared" si="5"/>
        <v>0</v>
      </c>
      <c r="I80" s="51">
        <f t="shared" si="6"/>
        <v>0</v>
      </c>
      <c r="J80" s="51">
        <f t="shared" si="7"/>
        <v>0</v>
      </c>
      <c r="K80" s="51">
        <f t="shared" si="8"/>
        <v>69.907200000000017</v>
      </c>
      <c r="L80" s="44">
        <f t="shared" si="11"/>
        <v>1832.6800000000005</v>
      </c>
      <c r="M80" s="44">
        <f t="shared" si="12"/>
        <v>1731.6800000000005</v>
      </c>
    </row>
    <row r="81" spans="2:13" x14ac:dyDescent="0.35">
      <c r="B81" s="6">
        <v>102</v>
      </c>
      <c r="C81" s="50">
        <f t="shared" si="9"/>
        <v>57.335999999999999</v>
      </c>
      <c r="D81" s="50">
        <f t="shared" si="10"/>
        <v>151.60000000000002</v>
      </c>
      <c r="E81" s="51">
        <f t="shared" si="2"/>
        <v>70.236599999999996</v>
      </c>
      <c r="F81" s="51">
        <f t="shared" si="3"/>
        <v>0</v>
      </c>
      <c r="G81" s="51">
        <f t="shared" si="4"/>
        <v>0</v>
      </c>
      <c r="H81" s="51">
        <f t="shared" si="5"/>
        <v>0</v>
      </c>
      <c r="I81" s="51">
        <f t="shared" si="6"/>
        <v>0</v>
      </c>
      <c r="J81" s="51">
        <f t="shared" si="7"/>
        <v>0</v>
      </c>
      <c r="K81" s="51">
        <f t="shared" si="8"/>
        <v>70.289400000000001</v>
      </c>
      <c r="L81" s="44">
        <f t="shared" si="11"/>
        <v>1842.2350000000001</v>
      </c>
      <c r="M81" s="44">
        <f t="shared" si="12"/>
        <v>1740.2350000000001</v>
      </c>
    </row>
    <row r="82" spans="2:13" x14ac:dyDescent="0.35">
      <c r="B82" s="6">
        <v>103</v>
      </c>
      <c r="C82" s="50">
        <f t="shared" si="9"/>
        <v>57.647999999999996</v>
      </c>
      <c r="D82" s="50">
        <f t="shared" si="10"/>
        <v>152.4</v>
      </c>
      <c r="E82" s="51">
        <f t="shared" si="2"/>
        <v>70.618799999999993</v>
      </c>
      <c r="F82" s="51">
        <f t="shared" si="3"/>
        <v>0</v>
      </c>
      <c r="G82" s="51">
        <f t="shared" si="4"/>
        <v>0</v>
      </c>
      <c r="H82" s="51">
        <f t="shared" si="5"/>
        <v>0</v>
      </c>
      <c r="I82" s="51">
        <f t="shared" si="6"/>
        <v>0</v>
      </c>
      <c r="J82" s="51">
        <f t="shared" si="7"/>
        <v>0</v>
      </c>
      <c r="K82" s="51">
        <f t="shared" si="8"/>
        <v>70.671599999999998</v>
      </c>
      <c r="L82" s="44">
        <f t="shared" si="11"/>
        <v>1851.79</v>
      </c>
      <c r="M82" s="44">
        <f t="shared" si="12"/>
        <v>1748.79</v>
      </c>
    </row>
    <row r="83" spans="2:13" x14ac:dyDescent="0.35">
      <c r="B83" s="6">
        <v>104</v>
      </c>
      <c r="C83" s="50">
        <f t="shared" si="9"/>
        <v>57.959999999999994</v>
      </c>
      <c r="D83" s="50">
        <f t="shared" si="10"/>
        <v>153.19999999999999</v>
      </c>
      <c r="E83" s="51">
        <f t="shared" si="2"/>
        <v>71.000999999999991</v>
      </c>
      <c r="F83" s="51">
        <f t="shared" si="3"/>
        <v>0</v>
      </c>
      <c r="G83" s="51">
        <f t="shared" si="4"/>
        <v>0</v>
      </c>
      <c r="H83" s="51">
        <f t="shared" si="5"/>
        <v>0</v>
      </c>
      <c r="I83" s="51">
        <f t="shared" si="6"/>
        <v>0</v>
      </c>
      <c r="J83" s="51">
        <f t="shared" si="7"/>
        <v>0</v>
      </c>
      <c r="K83" s="51">
        <f t="shared" si="8"/>
        <v>71.053799999999995</v>
      </c>
      <c r="L83" s="44">
        <f t="shared" si="11"/>
        <v>1861.3449999999998</v>
      </c>
      <c r="M83" s="44">
        <f t="shared" si="12"/>
        <v>1757.3449999999998</v>
      </c>
    </row>
    <row r="84" spans="2:13" x14ac:dyDescent="0.35">
      <c r="B84" s="6">
        <v>105</v>
      </c>
      <c r="C84" s="50">
        <f t="shared" si="9"/>
        <v>58.272000000000006</v>
      </c>
      <c r="D84" s="50">
        <f t="shared" si="10"/>
        <v>154</v>
      </c>
      <c r="E84" s="51">
        <f t="shared" si="2"/>
        <v>71.383200000000002</v>
      </c>
      <c r="F84" s="51">
        <f t="shared" si="3"/>
        <v>0</v>
      </c>
      <c r="G84" s="51">
        <f t="shared" si="4"/>
        <v>0</v>
      </c>
      <c r="H84" s="51">
        <f t="shared" si="5"/>
        <v>0</v>
      </c>
      <c r="I84" s="51">
        <f t="shared" si="6"/>
        <v>0</v>
      </c>
      <c r="J84" s="51">
        <f t="shared" si="7"/>
        <v>0</v>
      </c>
      <c r="K84" s="51">
        <f t="shared" si="8"/>
        <v>71.436000000000007</v>
      </c>
      <c r="L84" s="44">
        <f t="shared" si="11"/>
        <v>1870.9</v>
      </c>
      <c r="M84" s="44">
        <f t="shared" si="12"/>
        <v>1765.9</v>
      </c>
    </row>
    <row r="85" spans="2:13" x14ac:dyDescent="0.35">
      <c r="B85" s="6">
        <v>106</v>
      </c>
      <c r="C85" s="50">
        <f t="shared" si="9"/>
        <v>58.584000000000003</v>
      </c>
      <c r="D85" s="50">
        <f t="shared" si="10"/>
        <v>154.80000000000001</v>
      </c>
      <c r="E85" s="51">
        <f t="shared" si="2"/>
        <v>71.7654</v>
      </c>
      <c r="F85" s="51">
        <f t="shared" si="3"/>
        <v>0</v>
      </c>
      <c r="G85" s="51">
        <f t="shared" si="4"/>
        <v>0</v>
      </c>
      <c r="H85" s="51">
        <f t="shared" si="5"/>
        <v>0</v>
      </c>
      <c r="I85" s="51">
        <f t="shared" si="6"/>
        <v>0</v>
      </c>
      <c r="J85" s="51">
        <f t="shared" si="7"/>
        <v>0</v>
      </c>
      <c r="K85" s="51">
        <f t="shared" si="8"/>
        <v>71.818200000000004</v>
      </c>
      <c r="L85" s="44">
        <f t="shared" si="11"/>
        <v>1880.4550000000002</v>
      </c>
      <c r="M85" s="44">
        <f t="shared" si="12"/>
        <v>1774.4550000000002</v>
      </c>
    </row>
    <row r="86" spans="2:13" x14ac:dyDescent="0.35">
      <c r="B86" s="6">
        <v>107</v>
      </c>
      <c r="C86" s="50">
        <f t="shared" si="9"/>
        <v>58.896000000000001</v>
      </c>
      <c r="D86" s="50">
        <f t="shared" si="10"/>
        <v>155.60000000000002</v>
      </c>
      <c r="E86" s="51">
        <f t="shared" si="2"/>
        <v>72.147600000000011</v>
      </c>
      <c r="F86" s="51">
        <f t="shared" si="3"/>
        <v>0</v>
      </c>
      <c r="G86" s="51">
        <f t="shared" si="4"/>
        <v>0</v>
      </c>
      <c r="H86" s="51">
        <f t="shared" si="5"/>
        <v>0</v>
      </c>
      <c r="I86" s="51">
        <f t="shared" si="6"/>
        <v>0</v>
      </c>
      <c r="J86" s="51">
        <f t="shared" si="7"/>
        <v>0</v>
      </c>
      <c r="K86" s="51">
        <f t="shared" si="8"/>
        <v>72.200400000000016</v>
      </c>
      <c r="L86" s="44">
        <f t="shared" si="11"/>
        <v>1890.0100000000004</v>
      </c>
      <c r="M86" s="44">
        <f t="shared" si="12"/>
        <v>1783.0100000000004</v>
      </c>
    </row>
    <row r="87" spans="2:13" x14ac:dyDescent="0.35">
      <c r="B87" s="6">
        <v>108</v>
      </c>
      <c r="C87" s="50">
        <f t="shared" si="9"/>
        <v>59.207999999999998</v>
      </c>
      <c r="D87" s="50">
        <f t="shared" si="10"/>
        <v>156.4</v>
      </c>
      <c r="E87" s="51">
        <f t="shared" si="2"/>
        <v>72.529799999999994</v>
      </c>
      <c r="F87" s="51">
        <f t="shared" si="3"/>
        <v>0</v>
      </c>
      <c r="G87" s="51">
        <f t="shared" si="4"/>
        <v>0</v>
      </c>
      <c r="H87" s="51">
        <f t="shared" si="5"/>
        <v>0</v>
      </c>
      <c r="I87" s="51">
        <f t="shared" si="6"/>
        <v>0</v>
      </c>
      <c r="J87" s="51">
        <f t="shared" si="7"/>
        <v>0</v>
      </c>
      <c r="K87" s="51">
        <f t="shared" si="8"/>
        <v>72.582599999999999</v>
      </c>
      <c r="L87" s="44">
        <f t="shared" si="11"/>
        <v>1899.5650000000001</v>
      </c>
      <c r="M87" s="44">
        <f t="shared" si="12"/>
        <v>1791.5650000000001</v>
      </c>
    </row>
    <row r="88" spans="2:13" x14ac:dyDescent="0.35">
      <c r="B88" s="6">
        <v>109</v>
      </c>
      <c r="C88" s="50">
        <f t="shared" si="9"/>
        <v>59.519999999999996</v>
      </c>
      <c r="D88" s="50">
        <f t="shared" si="10"/>
        <v>157.19999999999999</v>
      </c>
      <c r="E88" s="51">
        <f t="shared" si="2"/>
        <v>72.911999999999992</v>
      </c>
      <c r="F88" s="51">
        <f t="shared" si="3"/>
        <v>0</v>
      </c>
      <c r="G88" s="51">
        <f t="shared" si="4"/>
        <v>0</v>
      </c>
      <c r="H88" s="51">
        <f t="shared" si="5"/>
        <v>0</v>
      </c>
      <c r="I88" s="51">
        <f t="shared" si="6"/>
        <v>0</v>
      </c>
      <c r="J88" s="51">
        <f t="shared" si="7"/>
        <v>0</v>
      </c>
      <c r="K88" s="51">
        <f t="shared" si="8"/>
        <v>72.964799999999997</v>
      </c>
      <c r="L88" s="44">
        <f t="shared" si="11"/>
        <v>1909.12</v>
      </c>
      <c r="M88" s="44">
        <f t="shared" si="12"/>
        <v>1800.12</v>
      </c>
    </row>
    <row r="89" spans="2:13" x14ac:dyDescent="0.35">
      <c r="B89" s="6">
        <v>110</v>
      </c>
      <c r="C89" s="50">
        <f t="shared" si="9"/>
        <v>59.831999999999994</v>
      </c>
      <c r="D89" s="50">
        <f t="shared" si="10"/>
        <v>158</v>
      </c>
      <c r="E89" s="51">
        <f t="shared" si="2"/>
        <v>73.294199999999989</v>
      </c>
      <c r="F89" s="51">
        <f t="shared" si="3"/>
        <v>0</v>
      </c>
      <c r="G89" s="51">
        <f t="shared" si="4"/>
        <v>0</v>
      </c>
      <c r="H89" s="51">
        <f t="shared" si="5"/>
        <v>0</v>
      </c>
      <c r="I89" s="51">
        <f t="shared" si="6"/>
        <v>0</v>
      </c>
      <c r="J89" s="51">
        <f t="shared" si="7"/>
        <v>0</v>
      </c>
      <c r="K89" s="51">
        <f t="shared" si="8"/>
        <v>73.346999999999994</v>
      </c>
      <c r="L89" s="44">
        <f t="shared" si="11"/>
        <v>1918.675</v>
      </c>
      <c r="M89" s="44">
        <f t="shared" si="12"/>
        <v>1808.675</v>
      </c>
    </row>
    <row r="90" spans="2:13" x14ac:dyDescent="0.35">
      <c r="B90" s="6">
        <v>111</v>
      </c>
      <c r="C90" s="50">
        <f t="shared" si="9"/>
        <v>60.144000000000005</v>
      </c>
      <c r="D90" s="50">
        <f t="shared" si="10"/>
        <v>158.80000000000001</v>
      </c>
      <c r="E90" s="51">
        <f t="shared" si="2"/>
        <v>73.676400000000015</v>
      </c>
      <c r="F90" s="51">
        <f t="shared" si="3"/>
        <v>0</v>
      </c>
      <c r="G90" s="51">
        <f t="shared" si="4"/>
        <v>0</v>
      </c>
      <c r="H90" s="51">
        <f t="shared" si="5"/>
        <v>0</v>
      </c>
      <c r="I90" s="51">
        <f t="shared" si="6"/>
        <v>0</v>
      </c>
      <c r="J90" s="51">
        <f t="shared" si="7"/>
        <v>0</v>
      </c>
      <c r="K90" s="51">
        <f t="shared" si="8"/>
        <v>73.72920000000002</v>
      </c>
      <c r="L90" s="44">
        <f t="shared" si="11"/>
        <v>1928.2300000000005</v>
      </c>
      <c r="M90" s="44">
        <f t="shared" si="12"/>
        <v>1817.2300000000005</v>
      </c>
    </row>
    <row r="91" spans="2:13" x14ac:dyDescent="0.35">
      <c r="B91" s="6">
        <v>112</v>
      </c>
      <c r="C91" s="50">
        <f t="shared" si="9"/>
        <v>60.456000000000003</v>
      </c>
      <c r="D91" s="50">
        <f t="shared" si="10"/>
        <v>159.60000000000002</v>
      </c>
      <c r="E91" s="51">
        <f t="shared" si="2"/>
        <v>74.058599999999998</v>
      </c>
      <c r="F91" s="51">
        <f t="shared" si="3"/>
        <v>0</v>
      </c>
      <c r="G91" s="51">
        <f t="shared" si="4"/>
        <v>0</v>
      </c>
      <c r="H91" s="51">
        <f t="shared" si="5"/>
        <v>0</v>
      </c>
      <c r="I91" s="51">
        <f t="shared" si="6"/>
        <v>0</v>
      </c>
      <c r="J91" s="51">
        <f t="shared" si="7"/>
        <v>0</v>
      </c>
      <c r="K91" s="51">
        <f t="shared" si="8"/>
        <v>74.111400000000003</v>
      </c>
      <c r="L91" s="44">
        <f t="shared" si="11"/>
        <v>1937.7850000000001</v>
      </c>
      <c r="M91" s="44">
        <f t="shared" si="12"/>
        <v>1825.7850000000001</v>
      </c>
    </row>
    <row r="92" spans="2:13" x14ac:dyDescent="0.35">
      <c r="B92" s="6">
        <v>113</v>
      </c>
      <c r="C92" s="50">
        <f t="shared" si="9"/>
        <v>60.768000000000001</v>
      </c>
      <c r="D92" s="50">
        <f t="shared" si="10"/>
        <v>160.4</v>
      </c>
      <c r="E92" s="51">
        <f t="shared" si="2"/>
        <v>74.44080000000001</v>
      </c>
      <c r="F92" s="51">
        <f t="shared" si="3"/>
        <v>0</v>
      </c>
      <c r="G92" s="51">
        <f t="shared" si="4"/>
        <v>0</v>
      </c>
      <c r="H92" s="51">
        <f t="shared" si="5"/>
        <v>0</v>
      </c>
      <c r="I92" s="51">
        <f t="shared" si="6"/>
        <v>0</v>
      </c>
      <c r="J92" s="51">
        <f t="shared" si="7"/>
        <v>0</v>
      </c>
      <c r="K92" s="51">
        <f t="shared" si="8"/>
        <v>74.493600000000015</v>
      </c>
      <c r="L92" s="44">
        <f t="shared" si="11"/>
        <v>1947.3400000000004</v>
      </c>
      <c r="M92" s="44">
        <f t="shared" si="12"/>
        <v>1834.3400000000004</v>
      </c>
    </row>
    <row r="93" spans="2:13" x14ac:dyDescent="0.35">
      <c r="B93" s="6">
        <v>114</v>
      </c>
      <c r="C93" s="50">
        <f t="shared" si="9"/>
        <v>61.08</v>
      </c>
      <c r="D93" s="50">
        <f t="shared" si="10"/>
        <v>161.19999999999999</v>
      </c>
      <c r="E93" s="51">
        <f t="shared" si="2"/>
        <v>74.823000000000008</v>
      </c>
      <c r="F93" s="51">
        <f t="shared" si="3"/>
        <v>0</v>
      </c>
      <c r="G93" s="51">
        <f t="shared" si="4"/>
        <v>0</v>
      </c>
      <c r="H93" s="51">
        <f t="shared" si="5"/>
        <v>0</v>
      </c>
      <c r="I93" s="51">
        <f t="shared" si="6"/>
        <v>0</v>
      </c>
      <c r="J93" s="51">
        <f t="shared" si="7"/>
        <v>0</v>
      </c>
      <c r="K93" s="51">
        <f t="shared" si="8"/>
        <v>74.875800000000012</v>
      </c>
      <c r="L93" s="44">
        <f t="shared" si="11"/>
        <v>1956.8950000000002</v>
      </c>
      <c r="M93" s="44">
        <f t="shared" si="12"/>
        <v>1842.8950000000002</v>
      </c>
    </row>
    <row r="94" spans="2:13" x14ac:dyDescent="0.35">
      <c r="B94" s="6">
        <v>115</v>
      </c>
      <c r="C94" s="50">
        <f t="shared" si="9"/>
        <v>61.391999999999996</v>
      </c>
      <c r="D94" s="50">
        <f t="shared" si="10"/>
        <v>162</v>
      </c>
      <c r="E94" s="51">
        <f t="shared" si="2"/>
        <v>75.205199999999991</v>
      </c>
      <c r="F94" s="51">
        <f t="shared" si="3"/>
        <v>0</v>
      </c>
      <c r="G94" s="51">
        <f t="shared" si="4"/>
        <v>0</v>
      </c>
      <c r="H94" s="51">
        <f t="shared" si="5"/>
        <v>0</v>
      </c>
      <c r="I94" s="51">
        <f t="shared" si="6"/>
        <v>0</v>
      </c>
      <c r="J94" s="51">
        <f t="shared" si="7"/>
        <v>0</v>
      </c>
      <c r="K94" s="51">
        <f t="shared" si="8"/>
        <v>75.257999999999996</v>
      </c>
      <c r="L94" s="44">
        <f t="shared" si="11"/>
        <v>1966.4499999999998</v>
      </c>
      <c r="M94" s="44">
        <f t="shared" si="12"/>
        <v>1851.4499999999998</v>
      </c>
    </row>
    <row r="95" spans="2:13" x14ac:dyDescent="0.35">
      <c r="B95" s="6">
        <v>116</v>
      </c>
      <c r="C95" s="50">
        <f t="shared" si="9"/>
        <v>61.703999999999994</v>
      </c>
      <c r="D95" s="50">
        <f t="shared" si="10"/>
        <v>162.80000000000001</v>
      </c>
      <c r="E95" s="51">
        <f t="shared" ref="E95:E129" si="13">C95*10^-3*$H$35^2*$K$13+$H$22/10^6*$H$35*$H$28*$J$13/6</f>
        <v>75.587399999999988</v>
      </c>
      <c r="F95" s="51">
        <f t="shared" ref="F95:F129" si="14">C95*10^-3*$H$36^2*$K$14+$H$22/10^6*$H$36*$H$28*$J$14/6</f>
        <v>0</v>
      </c>
      <c r="G95" s="51">
        <f t="shared" ref="G95:G129" si="15">D95*10^-3*$H$37^2*$K$15+$H$22/10^6*$H$37*$H$28*$J$15/6</f>
        <v>0</v>
      </c>
      <c r="H95" s="51">
        <f t="shared" ref="H95:H129" si="16">D95*10^-3*$H$38^2*$K$16+$H$22/10^6*$H$38*$H$28*$J$16/6</f>
        <v>0</v>
      </c>
      <c r="I95" s="51">
        <f t="shared" ref="I95:I129" si="17">IF($G$12="VN9D30Q100F",D95*10^-3*$H$39^2*$K$17+$H$22/10^6*$H$39*$H$28*$J$17/6,0)</f>
        <v>0</v>
      </c>
      <c r="J95" s="51">
        <f t="shared" ref="J95:J129" si="18">IF($G$12="VN9D30Q100F",D95*10^-3*$H$40^2*$K$18+$H$22/10^6*$H$40*$H$28*$J$18/6,0)</f>
        <v>0</v>
      </c>
      <c r="K95" s="51">
        <f t="shared" ref="K95:K129" si="19">E95+F95+G95+H95+($H$29/1000)*$H$28</f>
        <v>75.640199999999993</v>
      </c>
      <c r="L95" s="44">
        <f t="shared" si="11"/>
        <v>1976.0049999999999</v>
      </c>
      <c r="M95" s="44">
        <f t="shared" si="12"/>
        <v>1860.0049999999999</v>
      </c>
    </row>
    <row r="96" spans="2:13" x14ac:dyDescent="0.35">
      <c r="B96" s="6">
        <v>117</v>
      </c>
      <c r="C96" s="50">
        <f t="shared" si="9"/>
        <v>62.016000000000005</v>
      </c>
      <c r="D96" s="50">
        <f t="shared" si="10"/>
        <v>163.60000000000002</v>
      </c>
      <c r="E96" s="51">
        <f t="shared" si="13"/>
        <v>75.969600000000014</v>
      </c>
      <c r="F96" s="51">
        <f t="shared" si="14"/>
        <v>0</v>
      </c>
      <c r="G96" s="51">
        <f t="shared" si="15"/>
        <v>0</v>
      </c>
      <c r="H96" s="51">
        <f t="shared" si="16"/>
        <v>0</v>
      </c>
      <c r="I96" s="51">
        <f t="shared" si="17"/>
        <v>0</v>
      </c>
      <c r="J96" s="51">
        <f t="shared" si="18"/>
        <v>0</v>
      </c>
      <c r="K96" s="51">
        <f t="shared" si="19"/>
        <v>76.022400000000019</v>
      </c>
      <c r="L96" s="44">
        <f t="shared" ref="L96:L127" si="20">K96*$M$30+$H$23</f>
        <v>1985.5600000000004</v>
      </c>
      <c r="M96" s="44">
        <f t="shared" ref="M96:M127" si="21">L96-B96</f>
        <v>1868.5600000000004</v>
      </c>
    </row>
    <row r="97" spans="2:13" x14ac:dyDescent="0.35">
      <c r="B97" s="6">
        <v>118</v>
      </c>
      <c r="C97" s="50">
        <f t="shared" si="9"/>
        <v>62.328000000000003</v>
      </c>
      <c r="D97" s="50">
        <f t="shared" si="10"/>
        <v>164.4</v>
      </c>
      <c r="E97" s="51">
        <f t="shared" si="13"/>
        <v>76.351799999999997</v>
      </c>
      <c r="F97" s="51">
        <f t="shared" si="14"/>
        <v>0</v>
      </c>
      <c r="G97" s="51">
        <f t="shared" si="15"/>
        <v>0</v>
      </c>
      <c r="H97" s="51">
        <f t="shared" si="16"/>
        <v>0</v>
      </c>
      <c r="I97" s="51">
        <f t="shared" si="17"/>
        <v>0</v>
      </c>
      <c r="J97" s="51">
        <f t="shared" si="18"/>
        <v>0</v>
      </c>
      <c r="K97" s="51">
        <f t="shared" si="19"/>
        <v>76.404600000000002</v>
      </c>
      <c r="L97" s="44">
        <f t="shared" si="20"/>
        <v>1995.115</v>
      </c>
      <c r="M97" s="44">
        <f t="shared" si="21"/>
        <v>1877.115</v>
      </c>
    </row>
    <row r="98" spans="2:13" x14ac:dyDescent="0.35">
      <c r="B98" s="6">
        <v>119</v>
      </c>
      <c r="C98" s="50">
        <f t="shared" si="9"/>
        <v>62.64</v>
      </c>
      <c r="D98" s="50">
        <f t="shared" si="10"/>
        <v>165.2</v>
      </c>
      <c r="E98" s="51">
        <f t="shared" si="13"/>
        <v>76.733999999999995</v>
      </c>
      <c r="F98" s="51">
        <f t="shared" si="14"/>
        <v>0</v>
      </c>
      <c r="G98" s="51">
        <f t="shared" si="15"/>
        <v>0</v>
      </c>
      <c r="H98" s="51">
        <f t="shared" si="16"/>
        <v>0</v>
      </c>
      <c r="I98" s="51">
        <f t="shared" si="17"/>
        <v>0</v>
      </c>
      <c r="J98" s="51">
        <f t="shared" si="18"/>
        <v>0</v>
      </c>
      <c r="K98" s="51">
        <f t="shared" si="19"/>
        <v>76.786799999999999</v>
      </c>
      <c r="L98" s="44">
        <f t="shared" si="20"/>
        <v>2004.67</v>
      </c>
      <c r="M98" s="44">
        <f t="shared" si="21"/>
        <v>1885.67</v>
      </c>
    </row>
    <row r="99" spans="2:13" x14ac:dyDescent="0.35">
      <c r="B99" s="6">
        <v>120</v>
      </c>
      <c r="C99" s="50">
        <f t="shared" si="9"/>
        <v>62.951999999999998</v>
      </c>
      <c r="D99" s="50">
        <f t="shared" si="10"/>
        <v>166</v>
      </c>
      <c r="E99" s="51">
        <f t="shared" si="13"/>
        <v>77.116199999999992</v>
      </c>
      <c r="F99" s="51">
        <f t="shared" si="14"/>
        <v>0</v>
      </c>
      <c r="G99" s="51">
        <f t="shared" si="15"/>
        <v>0</v>
      </c>
      <c r="H99" s="51">
        <f t="shared" si="16"/>
        <v>0</v>
      </c>
      <c r="I99" s="51">
        <f t="shared" si="17"/>
        <v>0</v>
      </c>
      <c r="J99" s="51">
        <f t="shared" si="18"/>
        <v>0</v>
      </c>
      <c r="K99" s="51">
        <f t="shared" si="19"/>
        <v>77.168999999999997</v>
      </c>
      <c r="L99" s="44">
        <f t="shared" si="20"/>
        <v>2014.2249999999999</v>
      </c>
      <c r="M99" s="44">
        <f t="shared" si="21"/>
        <v>1894.2249999999999</v>
      </c>
    </row>
    <row r="100" spans="2:13" x14ac:dyDescent="0.35">
      <c r="B100" s="6">
        <v>121</v>
      </c>
      <c r="C100" s="50">
        <f t="shared" si="9"/>
        <v>63.263999999999996</v>
      </c>
      <c r="D100" s="50">
        <f t="shared" si="10"/>
        <v>166.8</v>
      </c>
      <c r="E100" s="51">
        <f t="shared" si="13"/>
        <v>77.498400000000004</v>
      </c>
      <c r="F100" s="51">
        <f t="shared" si="14"/>
        <v>0</v>
      </c>
      <c r="G100" s="51">
        <f t="shared" si="15"/>
        <v>0</v>
      </c>
      <c r="H100" s="51">
        <f t="shared" si="16"/>
        <v>0</v>
      </c>
      <c r="I100" s="51">
        <f t="shared" si="17"/>
        <v>0</v>
      </c>
      <c r="J100" s="51">
        <f t="shared" si="18"/>
        <v>0</v>
      </c>
      <c r="K100" s="51">
        <f t="shared" si="19"/>
        <v>77.551200000000009</v>
      </c>
      <c r="L100" s="44">
        <f t="shared" si="20"/>
        <v>2023.7800000000002</v>
      </c>
      <c r="M100" s="44">
        <f t="shared" si="21"/>
        <v>1902.7800000000002</v>
      </c>
    </row>
    <row r="101" spans="2:13" x14ac:dyDescent="0.35">
      <c r="B101" s="6">
        <v>122</v>
      </c>
      <c r="C101" s="50">
        <f t="shared" si="9"/>
        <v>63.575999999999993</v>
      </c>
      <c r="D101" s="50">
        <f t="shared" si="10"/>
        <v>167.60000000000002</v>
      </c>
      <c r="E101" s="51">
        <f t="shared" si="13"/>
        <v>77.880599999999987</v>
      </c>
      <c r="F101" s="51">
        <f t="shared" si="14"/>
        <v>0</v>
      </c>
      <c r="G101" s="51">
        <f t="shared" si="15"/>
        <v>0</v>
      </c>
      <c r="H101" s="51">
        <f t="shared" si="16"/>
        <v>0</v>
      </c>
      <c r="I101" s="51">
        <f t="shared" si="17"/>
        <v>0</v>
      </c>
      <c r="J101" s="51">
        <f t="shared" si="18"/>
        <v>0</v>
      </c>
      <c r="K101" s="51">
        <f t="shared" si="19"/>
        <v>77.933399999999992</v>
      </c>
      <c r="L101" s="44">
        <f t="shared" si="20"/>
        <v>2033.3349999999998</v>
      </c>
      <c r="M101" s="44">
        <f t="shared" si="21"/>
        <v>1911.3349999999998</v>
      </c>
    </row>
    <row r="102" spans="2:13" x14ac:dyDescent="0.35">
      <c r="B102" s="6">
        <v>123</v>
      </c>
      <c r="C102" s="50">
        <f t="shared" si="9"/>
        <v>63.888000000000005</v>
      </c>
      <c r="D102" s="50">
        <f t="shared" si="10"/>
        <v>168.4</v>
      </c>
      <c r="E102" s="51">
        <f t="shared" si="13"/>
        <v>78.262799999999999</v>
      </c>
      <c r="F102" s="51">
        <f t="shared" si="14"/>
        <v>0</v>
      </c>
      <c r="G102" s="51">
        <f t="shared" si="15"/>
        <v>0</v>
      </c>
      <c r="H102" s="51">
        <f t="shared" si="16"/>
        <v>0</v>
      </c>
      <c r="I102" s="51">
        <f t="shared" si="17"/>
        <v>0</v>
      </c>
      <c r="J102" s="51">
        <f t="shared" si="18"/>
        <v>0</v>
      </c>
      <c r="K102" s="51">
        <f t="shared" si="19"/>
        <v>78.315600000000003</v>
      </c>
      <c r="L102" s="44">
        <f t="shared" si="20"/>
        <v>2042.89</v>
      </c>
      <c r="M102" s="44">
        <f t="shared" si="21"/>
        <v>1919.89</v>
      </c>
    </row>
    <row r="103" spans="2:13" x14ac:dyDescent="0.35">
      <c r="B103" s="6">
        <v>124</v>
      </c>
      <c r="C103" s="50">
        <f t="shared" si="9"/>
        <v>64.2</v>
      </c>
      <c r="D103" s="50">
        <f t="shared" si="10"/>
        <v>169.2</v>
      </c>
      <c r="E103" s="51">
        <f t="shared" si="13"/>
        <v>78.64500000000001</v>
      </c>
      <c r="F103" s="51">
        <f t="shared" si="14"/>
        <v>0</v>
      </c>
      <c r="G103" s="51">
        <f t="shared" si="15"/>
        <v>0</v>
      </c>
      <c r="H103" s="51">
        <f t="shared" si="16"/>
        <v>0</v>
      </c>
      <c r="I103" s="51">
        <f t="shared" si="17"/>
        <v>0</v>
      </c>
      <c r="J103" s="51">
        <f t="shared" si="18"/>
        <v>0</v>
      </c>
      <c r="K103" s="51">
        <f t="shared" si="19"/>
        <v>78.697800000000015</v>
      </c>
      <c r="L103" s="44">
        <f t="shared" si="20"/>
        <v>2052.4450000000006</v>
      </c>
      <c r="M103" s="44">
        <f t="shared" si="21"/>
        <v>1928.4450000000006</v>
      </c>
    </row>
    <row r="104" spans="2:13" x14ac:dyDescent="0.35">
      <c r="B104" s="6">
        <v>125</v>
      </c>
      <c r="C104" s="50">
        <f t="shared" si="9"/>
        <v>64.512</v>
      </c>
      <c r="D104" s="50">
        <f t="shared" si="10"/>
        <v>170</v>
      </c>
      <c r="E104" s="51">
        <f t="shared" si="13"/>
        <v>79.027199999999993</v>
      </c>
      <c r="F104" s="51">
        <f t="shared" si="14"/>
        <v>0</v>
      </c>
      <c r="G104" s="51">
        <f t="shared" si="15"/>
        <v>0</v>
      </c>
      <c r="H104" s="51">
        <f t="shared" si="16"/>
        <v>0</v>
      </c>
      <c r="I104" s="51">
        <f t="shared" si="17"/>
        <v>0</v>
      </c>
      <c r="J104" s="51">
        <f t="shared" si="18"/>
        <v>0</v>
      </c>
      <c r="K104" s="51">
        <f t="shared" si="19"/>
        <v>79.08</v>
      </c>
      <c r="L104" s="44">
        <f t="shared" si="20"/>
        <v>2062</v>
      </c>
      <c r="M104" s="44">
        <f t="shared" si="21"/>
        <v>1937</v>
      </c>
    </row>
    <row r="105" spans="2:13" x14ac:dyDescent="0.35">
      <c r="B105" s="6">
        <v>126</v>
      </c>
      <c r="C105" s="50">
        <f t="shared" si="9"/>
        <v>64.823999999999998</v>
      </c>
      <c r="D105" s="50">
        <f t="shared" si="10"/>
        <v>170.8</v>
      </c>
      <c r="E105" s="51">
        <f t="shared" si="13"/>
        <v>79.409399999999991</v>
      </c>
      <c r="F105" s="51">
        <f t="shared" si="14"/>
        <v>0</v>
      </c>
      <c r="G105" s="51">
        <f t="shared" si="15"/>
        <v>0</v>
      </c>
      <c r="H105" s="51">
        <f t="shared" si="16"/>
        <v>0</v>
      </c>
      <c r="I105" s="51">
        <f t="shared" si="17"/>
        <v>0</v>
      </c>
      <c r="J105" s="51">
        <f t="shared" si="18"/>
        <v>0</v>
      </c>
      <c r="K105" s="51">
        <f t="shared" si="19"/>
        <v>79.462199999999996</v>
      </c>
      <c r="L105" s="44">
        <f t="shared" si="20"/>
        <v>2071.5549999999998</v>
      </c>
      <c r="M105" s="44">
        <f t="shared" si="21"/>
        <v>1945.5549999999998</v>
      </c>
    </row>
    <row r="106" spans="2:13" x14ac:dyDescent="0.35">
      <c r="B106" s="6">
        <v>127</v>
      </c>
      <c r="C106" s="50">
        <f t="shared" si="9"/>
        <v>65.135999999999996</v>
      </c>
      <c r="D106" s="50">
        <f t="shared" si="10"/>
        <v>171.60000000000002</v>
      </c>
      <c r="E106" s="51">
        <f t="shared" si="13"/>
        <v>79.791600000000003</v>
      </c>
      <c r="F106" s="51">
        <f t="shared" si="14"/>
        <v>0</v>
      </c>
      <c r="G106" s="51">
        <f t="shared" si="15"/>
        <v>0</v>
      </c>
      <c r="H106" s="51">
        <f t="shared" si="16"/>
        <v>0</v>
      </c>
      <c r="I106" s="51">
        <f t="shared" si="17"/>
        <v>0</v>
      </c>
      <c r="J106" s="51">
        <f t="shared" si="18"/>
        <v>0</v>
      </c>
      <c r="K106" s="51">
        <f t="shared" si="19"/>
        <v>79.844400000000007</v>
      </c>
      <c r="L106" s="44">
        <f t="shared" si="20"/>
        <v>2081.11</v>
      </c>
      <c r="M106" s="44">
        <f t="shared" si="21"/>
        <v>1954.1100000000001</v>
      </c>
    </row>
    <row r="107" spans="2:13" x14ac:dyDescent="0.35">
      <c r="B107" s="6">
        <v>128</v>
      </c>
      <c r="C107" s="50">
        <f t="shared" si="9"/>
        <v>65.447999999999993</v>
      </c>
      <c r="D107" s="50">
        <f t="shared" si="10"/>
        <v>172.4</v>
      </c>
      <c r="E107" s="51">
        <f t="shared" si="13"/>
        <v>80.173799999999986</v>
      </c>
      <c r="F107" s="51">
        <f t="shared" si="14"/>
        <v>0</v>
      </c>
      <c r="G107" s="51">
        <f t="shared" si="15"/>
        <v>0</v>
      </c>
      <c r="H107" s="51">
        <f t="shared" si="16"/>
        <v>0</v>
      </c>
      <c r="I107" s="51">
        <f t="shared" si="17"/>
        <v>0</v>
      </c>
      <c r="J107" s="51">
        <f t="shared" si="18"/>
        <v>0</v>
      </c>
      <c r="K107" s="51">
        <f t="shared" si="19"/>
        <v>80.226599999999991</v>
      </c>
      <c r="L107" s="44">
        <f t="shared" si="20"/>
        <v>2090.665</v>
      </c>
      <c r="M107" s="44">
        <f t="shared" si="21"/>
        <v>1962.665</v>
      </c>
    </row>
    <row r="108" spans="2:13" x14ac:dyDescent="0.35">
      <c r="B108" s="6">
        <v>129</v>
      </c>
      <c r="C108" s="50">
        <f t="shared" si="9"/>
        <v>65.760000000000005</v>
      </c>
      <c r="D108" s="50">
        <f t="shared" si="10"/>
        <v>173.2</v>
      </c>
      <c r="E108" s="51">
        <f t="shared" si="13"/>
        <v>80.556000000000012</v>
      </c>
      <c r="F108" s="51">
        <f t="shared" si="14"/>
        <v>0</v>
      </c>
      <c r="G108" s="51">
        <f t="shared" si="15"/>
        <v>0</v>
      </c>
      <c r="H108" s="51">
        <f t="shared" si="16"/>
        <v>0</v>
      </c>
      <c r="I108" s="51">
        <f t="shared" si="17"/>
        <v>0</v>
      </c>
      <c r="J108" s="51">
        <f t="shared" si="18"/>
        <v>0</v>
      </c>
      <c r="K108" s="51">
        <f t="shared" si="19"/>
        <v>80.608800000000016</v>
      </c>
      <c r="L108" s="44">
        <f t="shared" si="20"/>
        <v>2100.2200000000003</v>
      </c>
      <c r="M108" s="44">
        <f t="shared" si="21"/>
        <v>1971.2200000000003</v>
      </c>
    </row>
    <row r="109" spans="2:13" x14ac:dyDescent="0.35">
      <c r="B109" s="6">
        <v>130</v>
      </c>
      <c r="C109" s="50">
        <f t="shared" si="9"/>
        <v>66.072000000000003</v>
      </c>
      <c r="D109" s="50">
        <f t="shared" si="10"/>
        <v>174</v>
      </c>
      <c r="E109" s="51">
        <f t="shared" si="13"/>
        <v>80.938200000000009</v>
      </c>
      <c r="F109" s="51">
        <f t="shared" si="14"/>
        <v>0</v>
      </c>
      <c r="G109" s="51">
        <f t="shared" si="15"/>
        <v>0</v>
      </c>
      <c r="H109" s="51">
        <f t="shared" si="16"/>
        <v>0</v>
      </c>
      <c r="I109" s="51">
        <f t="shared" si="17"/>
        <v>0</v>
      </c>
      <c r="J109" s="51">
        <f t="shared" si="18"/>
        <v>0</v>
      </c>
      <c r="K109" s="51">
        <f t="shared" si="19"/>
        <v>80.991000000000014</v>
      </c>
      <c r="L109" s="44">
        <f t="shared" si="20"/>
        <v>2109.7750000000005</v>
      </c>
      <c r="M109" s="44">
        <f t="shared" si="21"/>
        <v>1979.7750000000005</v>
      </c>
    </row>
    <row r="110" spans="2:13" x14ac:dyDescent="0.35">
      <c r="B110" s="6">
        <v>131</v>
      </c>
      <c r="C110" s="50">
        <f t="shared" si="9"/>
        <v>66.384</v>
      </c>
      <c r="D110" s="50">
        <f t="shared" si="10"/>
        <v>174.8</v>
      </c>
      <c r="E110" s="51">
        <f t="shared" si="13"/>
        <v>81.320399999999992</v>
      </c>
      <c r="F110" s="51">
        <f t="shared" si="14"/>
        <v>0</v>
      </c>
      <c r="G110" s="51">
        <f t="shared" si="15"/>
        <v>0</v>
      </c>
      <c r="H110" s="51">
        <f t="shared" si="16"/>
        <v>0</v>
      </c>
      <c r="I110" s="51">
        <f t="shared" si="17"/>
        <v>0</v>
      </c>
      <c r="J110" s="51">
        <f t="shared" si="18"/>
        <v>0</v>
      </c>
      <c r="K110" s="51">
        <f t="shared" si="19"/>
        <v>81.373199999999997</v>
      </c>
      <c r="L110" s="44">
        <f t="shared" si="20"/>
        <v>2119.33</v>
      </c>
      <c r="M110" s="44">
        <f t="shared" si="21"/>
        <v>1988.33</v>
      </c>
    </row>
    <row r="111" spans="2:13" x14ac:dyDescent="0.35">
      <c r="B111" s="6">
        <v>132</v>
      </c>
      <c r="C111" s="50">
        <f t="shared" si="9"/>
        <v>66.695999999999998</v>
      </c>
      <c r="D111" s="50">
        <f t="shared" si="10"/>
        <v>175.60000000000002</v>
      </c>
      <c r="E111" s="51">
        <f t="shared" si="13"/>
        <v>81.702600000000004</v>
      </c>
      <c r="F111" s="51">
        <f t="shared" si="14"/>
        <v>0</v>
      </c>
      <c r="G111" s="51">
        <f t="shared" si="15"/>
        <v>0</v>
      </c>
      <c r="H111" s="51">
        <f t="shared" si="16"/>
        <v>0</v>
      </c>
      <c r="I111" s="51">
        <f t="shared" si="17"/>
        <v>0</v>
      </c>
      <c r="J111" s="51">
        <f t="shared" si="18"/>
        <v>0</v>
      </c>
      <c r="K111" s="51">
        <f t="shared" si="19"/>
        <v>81.755400000000009</v>
      </c>
      <c r="L111" s="44">
        <f t="shared" si="20"/>
        <v>2128.8850000000002</v>
      </c>
      <c r="M111" s="44">
        <f t="shared" si="21"/>
        <v>1996.8850000000002</v>
      </c>
    </row>
    <row r="112" spans="2:13" x14ac:dyDescent="0.35">
      <c r="B112" s="6">
        <v>133</v>
      </c>
      <c r="C112" s="50">
        <f t="shared" si="9"/>
        <v>67.007999999999996</v>
      </c>
      <c r="D112" s="50">
        <f t="shared" si="10"/>
        <v>176.4</v>
      </c>
      <c r="E112" s="51">
        <f t="shared" si="13"/>
        <v>82.084800000000001</v>
      </c>
      <c r="F112" s="51">
        <f t="shared" si="14"/>
        <v>0</v>
      </c>
      <c r="G112" s="51">
        <f t="shared" si="15"/>
        <v>0</v>
      </c>
      <c r="H112" s="51">
        <f t="shared" si="16"/>
        <v>0</v>
      </c>
      <c r="I112" s="51">
        <f t="shared" si="17"/>
        <v>0</v>
      </c>
      <c r="J112" s="51">
        <f t="shared" si="18"/>
        <v>0</v>
      </c>
      <c r="K112" s="51">
        <f t="shared" si="19"/>
        <v>82.137600000000006</v>
      </c>
      <c r="L112" s="44">
        <f t="shared" si="20"/>
        <v>2138.44</v>
      </c>
      <c r="M112" s="44">
        <f t="shared" si="21"/>
        <v>2005.44</v>
      </c>
    </row>
    <row r="113" spans="2:13" x14ac:dyDescent="0.35">
      <c r="B113" s="6">
        <v>134</v>
      </c>
      <c r="C113" s="50">
        <f t="shared" si="9"/>
        <v>67.319999999999993</v>
      </c>
      <c r="D113" s="50">
        <f t="shared" si="10"/>
        <v>177.2</v>
      </c>
      <c r="E113" s="51">
        <f t="shared" si="13"/>
        <v>82.466999999999985</v>
      </c>
      <c r="F113" s="51">
        <f t="shared" si="14"/>
        <v>0</v>
      </c>
      <c r="G113" s="51">
        <f t="shared" si="15"/>
        <v>0</v>
      </c>
      <c r="H113" s="51">
        <f t="shared" si="16"/>
        <v>0</v>
      </c>
      <c r="I113" s="51">
        <f t="shared" si="17"/>
        <v>0</v>
      </c>
      <c r="J113" s="51">
        <f t="shared" si="18"/>
        <v>0</v>
      </c>
      <c r="K113" s="51">
        <f t="shared" si="19"/>
        <v>82.519799999999989</v>
      </c>
      <c r="L113" s="44">
        <f t="shared" si="20"/>
        <v>2147.9949999999999</v>
      </c>
      <c r="M113" s="44">
        <f t="shared" si="21"/>
        <v>2013.9949999999999</v>
      </c>
    </row>
    <row r="114" spans="2:13" x14ac:dyDescent="0.35">
      <c r="B114" s="6">
        <v>135</v>
      </c>
      <c r="C114" s="50">
        <f t="shared" si="9"/>
        <v>67.632000000000005</v>
      </c>
      <c r="D114" s="50">
        <f t="shared" si="10"/>
        <v>178</v>
      </c>
      <c r="E114" s="51">
        <f t="shared" si="13"/>
        <v>82.84920000000001</v>
      </c>
      <c r="F114" s="51">
        <f t="shared" si="14"/>
        <v>0</v>
      </c>
      <c r="G114" s="51">
        <f t="shared" si="15"/>
        <v>0</v>
      </c>
      <c r="H114" s="51">
        <f t="shared" si="16"/>
        <v>0</v>
      </c>
      <c r="I114" s="51">
        <f t="shared" si="17"/>
        <v>0</v>
      </c>
      <c r="J114" s="51">
        <f t="shared" si="18"/>
        <v>0</v>
      </c>
      <c r="K114" s="51">
        <f t="shared" si="19"/>
        <v>82.902000000000015</v>
      </c>
      <c r="L114" s="44">
        <f t="shared" si="20"/>
        <v>2157.5500000000002</v>
      </c>
      <c r="M114" s="44">
        <f t="shared" si="21"/>
        <v>2022.5500000000002</v>
      </c>
    </row>
    <row r="115" spans="2:13" x14ac:dyDescent="0.35">
      <c r="B115" s="6">
        <v>136</v>
      </c>
      <c r="C115" s="50">
        <f t="shared" si="9"/>
        <v>67.944000000000003</v>
      </c>
      <c r="D115" s="50">
        <f t="shared" si="10"/>
        <v>178.8</v>
      </c>
      <c r="E115" s="51">
        <f t="shared" si="13"/>
        <v>83.231400000000008</v>
      </c>
      <c r="F115" s="51">
        <f t="shared" si="14"/>
        <v>0</v>
      </c>
      <c r="G115" s="51">
        <f t="shared" si="15"/>
        <v>0</v>
      </c>
      <c r="H115" s="51">
        <f t="shared" si="16"/>
        <v>0</v>
      </c>
      <c r="I115" s="51">
        <f t="shared" si="17"/>
        <v>0</v>
      </c>
      <c r="J115" s="51">
        <f t="shared" si="18"/>
        <v>0</v>
      </c>
      <c r="K115" s="51">
        <f t="shared" si="19"/>
        <v>83.284200000000013</v>
      </c>
      <c r="L115" s="44">
        <f t="shared" si="20"/>
        <v>2167.1050000000005</v>
      </c>
      <c r="M115" s="44">
        <f t="shared" si="21"/>
        <v>2031.1050000000005</v>
      </c>
    </row>
    <row r="116" spans="2:13" x14ac:dyDescent="0.35">
      <c r="B116" s="6">
        <v>137</v>
      </c>
      <c r="C116" s="50">
        <f t="shared" si="9"/>
        <v>68.256</v>
      </c>
      <c r="D116" s="50">
        <f t="shared" si="10"/>
        <v>179.60000000000002</v>
      </c>
      <c r="E116" s="51">
        <f t="shared" si="13"/>
        <v>83.613599999999991</v>
      </c>
      <c r="F116" s="51">
        <f t="shared" si="14"/>
        <v>0</v>
      </c>
      <c r="G116" s="51">
        <f t="shared" si="15"/>
        <v>0</v>
      </c>
      <c r="H116" s="51">
        <f t="shared" si="16"/>
        <v>0</v>
      </c>
      <c r="I116" s="51">
        <f t="shared" si="17"/>
        <v>0</v>
      </c>
      <c r="J116" s="51">
        <f t="shared" si="18"/>
        <v>0</v>
      </c>
      <c r="K116" s="51">
        <f t="shared" si="19"/>
        <v>83.666399999999996</v>
      </c>
      <c r="L116" s="44">
        <f t="shared" si="20"/>
        <v>2176.66</v>
      </c>
      <c r="M116" s="44">
        <f t="shared" si="21"/>
        <v>2039.6599999999999</v>
      </c>
    </row>
    <row r="117" spans="2:13" x14ac:dyDescent="0.35">
      <c r="B117" s="6">
        <v>138</v>
      </c>
      <c r="C117" s="50">
        <f t="shared" si="9"/>
        <v>68.567999999999998</v>
      </c>
      <c r="D117" s="50">
        <f t="shared" si="10"/>
        <v>180.4</v>
      </c>
      <c r="E117" s="51">
        <f t="shared" si="13"/>
        <v>83.995800000000003</v>
      </c>
      <c r="F117" s="51">
        <f t="shared" si="14"/>
        <v>0</v>
      </c>
      <c r="G117" s="51">
        <f t="shared" si="15"/>
        <v>0</v>
      </c>
      <c r="H117" s="51">
        <f t="shared" si="16"/>
        <v>0</v>
      </c>
      <c r="I117" s="51">
        <f t="shared" si="17"/>
        <v>0</v>
      </c>
      <c r="J117" s="51">
        <f t="shared" si="18"/>
        <v>0</v>
      </c>
      <c r="K117" s="51">
        <f t="shared" si="19"/>
        <v>84.048600000000008</v>
      </c>
      <c r="L117" s="44">
        <f t="shared" si="20"/>
        <v>2186.2150000000001</v>
      </c>
      <c r="M117" s="44">
        <f t="shared" si="21"/>
        <v>2048.2150000000001</v>
      </c>
    </row>
    <row r="118" spans="2:13" x14ac:dyDescent="0.35">
      <c r="B118" s="6">
        <v>139</v>
      </c>
      <c r="C118" s="50">
        <f t="shared" si="9"/>
        <v>68.88</v>
      </c>
      <c r="D118" s="50">
        <f t="shared" si="10"/>
        <v>181.2</v>
      </c>
      <c r="E118" s="51">
        <f t="shared" si="13"/>
        <v>84.378</v>
      </c>
      <c r="F118" s="51">
        <f t="shared" si="14"/>
        <v>0</v>
      </c>
      <c r="G118" s="51">
        <f t="shared" si="15"/>
        <v>0</v>
      </c>
      <c r="H118" s="51">
        <f t="shared" si="16"/>
        <v>0</v>
      </c>
      <c r="I118" s="51">
        <f t="shared" si="17"/>
        <v>0</v>
      </c>
      <c r="J118" s="51">
        <f t="shared" si="18"/>
        <v>0</v>
      </c>
      <c r="K118" s="51">
        <f t="shared" si="19"/>
        <v>84.430800000000005</v>
      </c>
      <c r="L118" s="44">
        <f t="shared" si="20"/>
        <v>2195.77</v>
      </c>
      <c r="M118" s="44">
        <f t="shared" si="21"/>
        <v>2056.77</v>
      </c>
    </row>
    <row r="119" spans="2:13" x14ac:dyDescent="0.35">
      <c r="B119" s="6">
        <v>140</v>
      </c>
      <c r="C119" s="50">
        <f t="shared" si="9"/>
        <v>69.191999999999993</v>
      </c>
      <c r="D119" s="50">
        <f t="shared" si="10"/>
        <v>182</v>
      </c>
      <c r="E119" s="51">
        <f t="shared" si="13"/>
        <v>84.760199999999983</v>
      </c>
      <c r="F119" s="51">
        <f t="shared" si="14"/>
        <v>0</v>
      </c>
      <c r="G119" s="51">
        <f t="shared" si="15"/>
        <v>0</v>
      </c>
      <c r="H119" s="51">
        <f t="shared" si="16"/>
        <v>0</v>
      </c>
      <c r="I119" s="51">
        <f t="shared" si="17"/>
        <v>0</v>
      </c>
      <c r="J119" s="51">
        <f t="shared" si="18"/>
        <v>0</v>
      </c>
      <c r="K119" s="51">
        <f t="shared" si="19"/>
        <v>84.812999999999988</v>
      </c>
      <c r="L119" s="44">
        <f t="shared" si="20"/>
        <v>2205.3249999999998</v>
      </c>
      <c r="M119" s="44">
        <f t="shared" si="21"/>
        <v>2065.3249999999998</v>
      </c>
    </row>
    <row r="120" spans="2:13" x14ac:dyDescent="0.35">
      <c r="B120" s="6">
        <v>141</v>
      </c>
      <c r="C120" s="50">
        <f t="shared" si="9"/>
        <v>69.504000000000005</v>
      </c>
      <c r="D120" s="50">
        <f t="shared" si="10"/>
        <v>182.8</v>
      </c>
      <c r="E120" s="51">
        <f t="shared" si="13"/>
        <v>85.142400000000009</v>
      </c>
      <c r="F120" s="51">
        <f t="shared" si="14"/>
        <v>0</v>
      </c>
      <c r="G120" s="51">
        <f t="shared" si="15"/>
        <v>0</v>
      </c>
      <c r="H120" s="51">
        <f t="shared" si="16"/>
        <v>0</v>
      </c>
      <c r="I120" s="51">
        <f t="shared" si="17"/>
        <v>0</v>
      </c>
      <c r="J120" s="51">
        <f t="shared" si="18"/>
        <v>0</v>
      </c>
      <c r="K120" s="51">
        <f t="shared" si="19"/>
        <v>85.195200000000014</v>
      </c>
      <c r="L120" s="44">
        <f t="shared" si="20"/>
        <v>2214.8800000000006</v>
      </c>
      <c r="M120" s="44">
        <f t="shared" si="21"/>
        <v>2073.8800000000006</v>
      </c>
    </row>
    <row r="121" spans="2:13" x14ac:dyDescent="0.35">
      <c r="B121" s="6">
        <v>142</v>
      </c>
      <c r="C121" s="50">
        <f t="shared" si="9"/>
        <v>69.816000000000003</v>
      </c>
      <c r="D121" s="50">
        <f t="shared" si="10"/>
        <v>183.60000000000002</v>
      </c>
      <c r="E121" s="51">
        <f t="shared" si="13"/>
        <v>85.524600000000007</v>
      </c>
      <c r="F121" s="51">
        <f t="shared" si="14"/>
        <v>0</v>
      </c>
      <c r="G121" s="51">
        <f t="shared" si="15"/>
        <v>0</v>
      </c>
      <c r="H121" s="51">
        <f t="shared" si="16"/>
        <v>0</v>
      </c>
      <c r="I121" s="51">
        <f t="shared" si="17"/>
        <v>0</v>
      </c>
      <c r="J121" s="51">
        <f t="shared" si="18"/>
        <v>0</v>
      </c>
      <c r="K121" s="51">
        <f t="shared" si="19"/>
        <v>85.577400000000011</v>
      </c>
      <c r="L121" s="44">
        <f t="shared" si="20"/>
        <v>2224.4350000000004</v>
      </c>
      <c r="M121" s="44">
        <f t="shared" si="21"/>
        <v>2082.4350000000004</v>
      </c>
    </row>
    <row r="122" spans="2:13" x14ac:dyDescent="0.35">
      <c r="B122" s="6">
        <v>143</v>
      </c>
      <c r="C122" s="50">
        <f t="shared" si="9"/>
        <v>70.128</v>
      </c>
      <c r="D122" s="50">
        <f t="shared" si="10"/>
        <v>184.4</v>
      </c>
      <c r="E122" s="51">
        <f t="shared" si="13"/>
        <v>85.90679999999999</v>
      </c>
      <c r="F122" s="51">
        <f t="shared" si="14"/>
        <v>0</v>
      </c>
      <c r="G122" s="51">
        <f t="shared" si="15"/>
        <v>0</v>
      </c>
      <c r="H122" s="51">
        <f t="shared" si="16"/>
        <v>0</v>
      </c>
      <c r="I122" s="51">
        <f t="shared" si="17"/>
        <v>0</v>
      </c>
      <c r="J122" s="51">
        <f t="shared" si="18"/>
        <v>0</v>
      </c>
      <c r="K122" s="51">
        <f t="shared" si="19"/>
        <v>85.959599999999995</v>
      </c>
      <c r="L122" s="44">
        <f t="shared" si="20"/>
        <v>2233.9899999999998</v>
      </c>
      <c r="M122" s="44">
        <f t="shared" si="21"/>
        <v>2090.9899999999998</v>
      </c>
    </row>
    <row r="123" spans="2:13" x14ac:dyDescent="0.35">
      <c r="B123" s="6">
        <v>144</v>
      </c>
      <c r="C123" s="50">
        <f t="shared" si="9"/>
        <v>70.44</v>
      </c>
      <c r="D123" s="50">
        <f t="shared" si="10"/>
        <v>185.2</v>
      </c>
      <c r="E123" s="51">
        <f t="shared" si="13"/>
        <v>86.289000000000001</v>
      </c>
      <c r="F123" s="51">
        <f t="shared" si="14"/>
        <v>0</v>
      </c>
      <c r="G123" s="51">
        <f t="shared" si="15"/>
        <v>0</v>
      </c>
      <c r="H123" s="51">
        <f t="shared" si="16"/>
        <v>0</v>
      </c>
      <c r="I123" s="51">
        <f t="shared" si="17"/>
        <v>0</v>
      </c>
      <c r="J123" s="51">
        <f t="shared" si="18"/>
        <v>0</v>
      </c>
      <c r="K123" s="51">
        <f t="shared" si="19"/>
        <v>86.341800000000006</v>
      </c>
      <c r="L123" s="44">
        <f t="shared" si="20"/>
        <v>2243.5450000000001</v>
      </c>
      <c r="M123" s="44">
        <f t="shared" si="21"/>
        <v>2099.5450000000001</v>
      </c>
    </row>
    <row r="124" spans="2:13" x14ac:dyDescent="0.35">
      <c r="B124" s="6">
        <v>145</v>
      </c>
      <c r="C124" s="50">
        <f t="shared" si="9"/>
        <v>70.751999999999995</v>
      </c>
      <c r="D124" s="50">
        <f t="shared" si="10"/>
        <v>186</v>
      </c>
      <c r="E124" s="51">
        <f t="shared" si="13"/>
        <v>86.671199999999999</v>
      </c>
      <c r="F124" s="51">
        <f t="shared" si="14"/>
        <v>0</v>
      </c>
      <c r="G124" s="51">
        <f t="shared" si="15"/>
        <v>0</v>
      </c>
      <c r="H124" s="51">
        <f t="shared" si="16"/>
        <v>0</v>
      </c>
      <c r="I124" s="51">
        <f t="shared" si="17"/>
        <v>0</v>
      </c>
      <c r="J124" s="51">
        <f t="shared" si="18"/>
        <v>0</v>
      </c>
      <c r="K124" s="51">
        <f t="shared" si="19"/>
        <v>86.724000000000004</v>
      </c>
      <c r="L124" s="44">
        <f t="shared" si="20"/>
        <v>2253.1</v>
      </c>
      <c r="M124" s="44">
        <f t="shared" si="21"/>
        <v>2108.1</v>
      </c>
    </row>
    <row r="125" spans="2:13" x14ac:dyDescent="0.35">
      <c r="B125" s="6">
        <v>146</v>
      </c>
      <c r="C125" s="50">
        <f t="shared" si="9"/>
        <v>71.063999999999993</v>
      </c>
      <c r="D125" s="50">
        <f t="shared" si="10"/>
        <v>186.8</v>
      </c>
      <c r="E125" s="51">
        <f t="shared" si="13"/>
        <v>87.053399999999982</v>
      </c>
      <c r="F125" s="51">
        <f t="shared" si="14"/>
        <v>0</v>
      </c>
      <c r="G125" s="51">
        <f t="shared" si="15"/>
        <v>0</v>
      </c>
      <c r="H125" s="51">
        <f t="shared" si="16"/>
        <v>0</v>
      </c>
      <c r="I125" s="51">
        <f t="shared" si="17"/>
        <v>0</v>
      </c>
      <c r="J125" s="51">
        <f t="shared" si="18"/>
        <v>0</v>
      </c>
      <c r="K125" s="51">
        <f t="shared" si="19"/>
        <v>87.106199999999987</v>
      </c>
      <c r="L125" s="44">
        <f t="shared" si="20"/>
        <v>2262.6549999999997</v>
      </c>
      <c r="M125" s="44">
        <f t="shared" si="21"/>
        <v>2116.6549999999997</v>
      </c>
    </row>
    <row r="126" spans="2:13" x14ac:dyDescent="0.35">
      <c r="B126" s="6">
        <v>147</v>
      </c>
      <c r="C126" s="50">
        <f t="shared" si="9"/>
        <v>71.376000000000005</v>
      </c>
      <c r="D126" s="50">
        <f t="shared" si="10"/>
        <v>187.60000000000002</v>
      </c>
      <c r="E126" s="51">
        <f t="shared" si="13"/>
        <v>87.435600000000008</v>
      </c>
      <c r="F126" s="51">
        <f t="shared" si="14"/>
        <v>0</v>
      </c>
      <c r="G126" s="51">
        <f t="shared" si="15"/>
        <v>0</v>
      </c>
      <c r="H126" s="51">
        <f t="shared" si="16"/>
        <v>0</v>
      </c>
      <c r="I126" s="51">
        <f t="shared" si="17"/>
        <v>0</v>
      </c>
      <c r="J126" s="51">
        <f t="shared" si="18"/>
        <v>0</v>
      </c>
      <c r="K126" s="51">
        <f t="shared" si="19"/>
        <v>87.488400000000013</v>
      </c>
      <c r="L126" s="44">
        <f t="shared" si="20"/>
        <v>2272.2100000000005</v>
      </c>
      <c r="M126" s="44">
        <f t="shared" si="21"/>
        <v>2125.2100000000005</v>
      </c>
    </row>
    <row r="127" spans="2:13" x14ac:dyDescent="0.35">
      <c r="B127" s="6">
        <v>148</v>
      </c>
      <c r="C127" s="50">
        <f t="shared" si="9"/>
        <v>71.688000000000002</v>
      </c>
      <c r="D127" s="50">
        <f t="shared" si="10"/>
        <v>188.4</v>
      </c>
      <c r="E127" s="51">
        <f t="shared" si="13"/>
        <v>87.817800000000005</v>
      </c>
      <c r="F127" s="51">
        <f t="shared" si="14"/>
        <v>0</v>
      </c>
      <c r="G127" s="51">
        <f t="shared" si="15"/>
        <v>0</v>
      </c>
      <c r="H127" s="51">
        <f t="shared" si="16"/>
        <v>0</v>
      </c>
      <c r="I127" s="51">
        <f t="shared" si="17"/>
        <v>0</v>
      </c>
      <c r="J127" s="51">
        <f t="shared" si="18"/>
        <v>0</v>
      </c>
      <c r="K127" s="51">
        <f t="shared" si="19"/>
        <v>87.87060000000001</v>
      </c>
      <c r="L127" s="44">
        <f t="shared" si="20"/>
        <v>2281.7650000000003</v>
      </c>
      <c r="M127" s="44">
        <f t="shared" si="21"/>
        <v>2133.7650000000003</v>
      </c>
    </row>
    <row r="128" spans="2:13" x14ac:dyDescent="0.35">
      <c r="B128" s="6">
        <v>149</v>
      </c>
      <c r="C128" s="50">
        <f t="shared" ref="C128:C129" si="22">IF($G$12="VN9D5D20FN",0.056*B128 + 4.4,0.312*B129 + 25.2)</f>
        <v>72</v>
      </c>
      <c r="D128" s="50">
        <f t="shared" ref="D128:D129" si="23">IF($G$12="VN9D5D20FN",0.188*B128 + 15.3,0.8*B128 + 70)</f>
        <v>189.2</v>
      </c>
      <c r="E128" s="51">
        <f t="shared" si="13"/>
        <v>88.200000000000017</v>
      </c>
      <c r="F128" s="51">
        <f t="shared" si="14"/>
        <v>0</v>
      </c>
      <c r="G128" s="51">
        <f t="shared" si="15"/>
        <v>0</v>
      </c>
      <c r="H128" s="51">
        <f t="shared" si="16"/>
        <v>0</v>
      </c>
      <c r="I128" s="51">
        <f t="shared" si="17"/>
        <v>0</v>
      </c>
      <c r="J128" s="51">
        <f t="shared" si="18"/>
        <v>0</v>
      </c>
      <c r="K128" s="51">
        <f t="shared" si="19"/>
        <v>88.252800000000022</v>
      </c>
      <c r="L128" s="44">
        <f t="shared" ref="L128:L129" si="24">K128*$M$30+$H$23</f>
        <v>2291.3200000000006</v>
      </c>
      <c r="M128" s="44">
        <f t="shared" ref="M128:M129" si="25">L128-B128</f>
        <v>2142.3200000000006</v>
      </c>
    </row>
    <row r="129" spans="2:13" x14ac:dyDescent="0.35">
      <c r="B129" s="6">
        <v>150</v>
      </c>
      <c r="C129" s="50">
        <f t="shared" si="22"/>
        <v>25.2</v>
      </c>
      <c r="D129" s="50">
        <f t="shared" si="23"/>
        <v>190</v>
      </c>
      <c r="E129" s="51">
        <f t="shared" si="13"/>
        <v>30.87</v>
      </c>
      <c r="F129" s="51">
        <f t="shared" si="14"/>
        <v>0</v>
      </c>
      <c r="G129" s="51">
        <f t="shared" si="15"/>
        <v>0</v>
      </c>
      <c r="H129" s="51">
        <f t="shared" si="16"/>
        <v>0</v>
      </c>
      <c r="I129" s="51">
        <f t="shared" si="17"/>
        <v>0</v>
      </c>
      <c r="J129" s="51">
        <f t="shared" si="18"/>
        <v>0</v>
      </c>
      <c r="K129" s="51">
        <f t="shared" si="19"/>
        <v>30.922800000000002</v>
      </c>
      <c r="L129" s="44">
        <f t="shared" si="24"/>
        <v>858.07</v>
      </c>
      <c r="M129" s="44">
        <f t="shared" si="25"/>
        <v>708.07</v>
      </c>
    </row>
    <row r="133" spans="2:13" x14ac:dyDescent="0.35">
      <c r="C133" s="6">
        <v>25</v>
      </c>
      <c r="D133" s="6">
        <v>5.8</v>
      </c>
      <c r="E133">
        <v>20</v>
      </c>
    </row>
    <row r="134" spans="2:13" x14ac:dyDescent="0.35">
      <c r="C134" s="6">
        <v>150</v>
      </c>
      <c r="D134" s="52">
        <v>12.8</v>
      </c>
      <c r="E134">
        <v>43.5</v>
      </c>
    </row>
  </sheetData>
  <mergeCells count="17">
    <mergeCell ref="G11:N11"/>
    <mergeCell ref="C11:E11"/>
    <mergeCell ref="B61:K61"/>
    <mergeCell ref="G47:H47"/>
    <mergeCell ref="J22:K22"/>
    <mergeCell ref="G12:I12"/>
    <mergeCell ref="B53:E53"/>
    <mergeCell ref="J44:M44"/>
    <mergeCell ref="J23:K23"/>
    <mergeCell ref="J24:K24"/>
    <mergeCell ref="J25:K25"/>
    <mergeCell ref="J26:K26"/>
    <mergeCell ref="C16:E16"/>
    <mergeCell ref="C22:E22"/>
    <mergeCell ref="I30:I32"/>
    <mergeCell ref="H30:H32"/>
    <mergeCell ref="G30:G32"/>
  </mergeCells>
  <phoneticPr fontId="15" type="noConversion"/>
  <conditionalFormatting sqref="H44">
    <cfRule type="cellIs" dxfId="7" priority="18" operator="lessThan">
      <formula>145</formula>
    </cfRule>
    <cfRule type="cellIs" dxfId="6" priority="20" stopIfTrue="1" operator="greaterThanOrEqual">
      <formula>150</formula>
    </cfRule>
  </conditionalFormatting>
  <conditionalFormatting sqref="J44">
    <cfRule type="cellIs" dxfId="5" priority="7" operator="between">
      <formula>145</formula>
      <formula>149</formula>
    </cfRule>
    <cfRule type="cellIs" dxfId="4" priority="16" operator="equal">
      <formula>"WARNING"</formula>
    </cfRule>
    <cfRule type="cellIs" dxfId="3" priority="17" operator="equal">
      <formula>"OK"</formula>
    </cfRule>
  </conditionalFormatting>
  <conditionalFormatting sqref="T35">
    <cfRule type="cellIs" dxfId="2" priority="8" operator="equal">
      <formula>"WARNING"</formula>
    </cfRule>
    <cfRule type="cellIs" dxfId="1" priority="9" operator="equal">
      <formula>"OK"</formula>
    </cfRule>
  </conditionalFormatting>
  <conditionalFormatting sqref="Q29:V34">
    <cfRule type="cellIs" dxfId="0" priority="1" operator="lessThan">
      <formula>125</formula>
    </cfRule>
  </conditionalFormatting>
  <dataValidations count="7">
    <dataValidation type="list" allowBlank="1" showInputMessage="1" showErrorMessage="1" sqref="D18" xr:uid="{862B5BEB-2D09-4ACE-ADD1-D3C392887AFA}">
      <formula1>"0,5,10"</formula1>
    </dataValidation>
    <dataValidation type="list" allowBlank="1" showInputMessage="1" showErrorMessage="1" sqref="G12:I12" xr:uid="{923BA7B9-92FD-4893-B6DF-2F284FFB5547}">
      <formula1>$J$29:$J$43</formula1>
    </dataValidation>
    <dataValidation type="list" allowBlank="1" showInputMessage="1" showErrorMessage="1" sqref="H25" xr:uid="{7B2FF6F3-F47D-438E-BB28-49B7D312CD9B}">
      <formula1>"0,5,10,15,20,25,30,50"</formula1>
    </dataValidation>
    <dataValidation errorStyle="warning" allowBlank="1" showInputMessage="1" showErrorMessage="1" sqref="H13:H20" xr:uid="{25FB6A87-BA06-4315-BC0A-6AEBDC8947DA}"/>
    <dataValidation type="list" allowBlank="1" showInputMessage="1" showErrorMessage="1" sqref="N13:N20" xr:uid="{D14B0C1D-1EBE-4B8D-8883-5DD9F5438937}">
      <formula1>"Resistive,Inductive"</formula1>
    </dataValidation>
    <dataValidation type="list" allowBlank="1" showInputMessage="1" showErrorMessage="1" sqref="J13:J20" xr:uid="{585AF2CA-75F6-4748-88F7-22A1710F7F4F}">
      <formula1>"0,100,200,300,400,500"</formula1>
    </dataValidation>
    <dataValidation type="list" allowBlank="1" showInputMessage="1" showErrorMessage="1" sqref="K13:K20" xr:uid="{62F29E6F-FA12-4A2C-BE87-D21EE90B4F81}">
      <formula1>"0,1,0.2,0.3,0.4,0.5,0.6,0.7,0.8,0.9,0.95,0.97"</formula1>
    </dataValidation>
  </dataValidations>
  <hyperlinks>
    <hyperlink ref="I13" r:id="rId1" display="mΩ@150℃" xr:uid="{1DCEEEA9-34B2-4720-A22E-B335254632AE}"/>
    <hyperlink ref="I14:I20" r:id="rId2" display="mΩ@150℃" xr:uid="{6A10D3A4-0FCE-4D6C-9BFD-52E6C531B51C}"/>
    <hyperlink ref="S13" r:id="rId3" display="mΩ@150℃" xr:uid="{3F97F441-D65A-473B-82BF-B559530523FF}"/>
    <hyperlink ref="S14:S20" r:id="rId4" display="mΩ@150℃" xr:uid="{CA863F9E-2857-4E66-970C-93A9EC511907}"/>
  </hyperlinks>
  <pageMargins left="0.7" right="0.7" top="0.75" bottom="0.75" header="0.3" footer="0.3"/>
  <pageSetup orientation="portrait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"/>
  <sheetViews>
    <sheetView workbookViewId="0"/>
  </sheetViews>
  <sheetFormatPr defaultRowHeight="14.15" x14ac:dyDescent="0.35"/>
  <sheetData/>
  <phoneticPr fontId="15" type="noConversion"/>
  <pageMargins left="0.7" right="0.7" top="0.75" bottom="0.75" header="0.3" footer="0.3"/>
  <pageSetup orientation="portrait" r:id="rId1"/>
  <customProperties>
    <customPr name="DCFIdentifier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"/>
  <sheetViews>
    <sheetView workbookViewId="0"/>
  </sheetViews>
  <sheetFormatPr defaultRowHeight="14.15" x14ac:dyDescent="0.35"/>
  <sheetData>
    <row r="1" spans="1:7" x14ac:dyDescent="0.35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</row>
    <row r="2" spans="1:7" x14ac:dyDescent="0.35">
      <c r="A2" t="s">
        <v>8</v>
      </c>
      <c r="B2" t="s">
        <v>9</v>
      </c>
      <c r="C2" t="s">
        <v>10</v>
      </c>
      <c r="D2" t="s">
        <v>11</v>
      </c>
      <c r="E2" t="s">
        <v>12</v>
      </c>
      <c r="F2">
        <v>17</v>
      </c>
      <c r="G2" t="s">
        <v>13</v>
      </c>
    </row>
  </sheetData>
  <phoneticPr fontId="15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HSD Tj Cal</vt:lpstr>
      <vt:lpstr>Classified as UnClassified</vt:lpstr>
    </vt:vector>
  </TitlesOfParts>
  <Company>STMicroelectronics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TAN</dc:creator>
  <cp:lastModifiedBy>yongkangjun</cp:lastModifiedBy>
  <cp:lastPrinted>2021-05-17T09:15:00Z</cp:lastPrinted>
  <dcterms:created xsi:type="dcterms:W3CDTF">2019-11-26T05:15:06Z</dcterms:created>
  <dcterms:modified xsi:type="dcterms:W3CDTF">2021-12-13T13:28:56Z</dcterms:modified>
</cp:coreProperties>
</file>