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6428" windowHeight="27300"/>
  </bookViews>
  <sheets>
    <sheet name="额定" sheetId="4" r:id="rId1"/>
    <sheet name="最大" sheetId="1" r:id="rId2"/>
    <sheet name="Sheet2" sheetId="2" r:id="rId3"/>
    <sheet name="Sheet3" sheetId="3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<sst xmlns="http://schemas.openxmlformats.org/spreadsheetml/2006/main" count="357" uniqueCount="93">
  <si>
    <t>用户输入</t>
  </si>
  <si>
    <t>额定输出电压</t>
  </si>
  <si>
    <t>V</t>
  </si>
  <si>
    <t>额定输出电流</t>
  </si>
  <si>
    <t>A</t>
  </si>
  <si>
    <t>最大输出电压</t>
  </si>
  <si>
    <t>额定效率</t>
  </si>
  <si>
    <t>%</t>
  </si>
  <si>
    <t>最小输入电压</t>
  </si>
  <si>
    <t>VAC</t>
  </si>
  <si>
    <t>最大输入电压</t>
  </si>
  <si>
    <t>额定输出功率</t>
  </si>
  <si>
    <t>W</t>
  </si>
  <si>
    <t>额定输入功率</t>
  </si>
  <si>
    <t>最大母线电压</t>
  </si>
  <si>
    <t>最大输入功率</t>
  </si>
  <si>
    <t>最大输出功率</t>
  </si>
  <si>
    <t>Vor 最大值</t>
  </si>
  <si>
    <t>MOS最大耐压</t>
  </si>
  <si>
    <t>MOS管余量</t>
  </si>
  <si>
    <t>预估漏感尖峰电压 Vm</t>
  </si>
  <si>
    <t>最大Vor</t>
  </si>
  <si>
    <t>Vor取值</t>
  </si>
  <si>
    <t>匝比</t>
  </si>
  <si>
    <t>次级MOS耐压</t>
  </si>
  <si>
    <t>次级MOS最大耐压@最大输出电压</t>
  </si>
  <si>
    <t>不加RC吸收</t>
  </si>
  <si>
    <t>次级MOS最大耐压@额定输出电压</t>
  </si>
  <si>
    <t>次级MOS平台耐压@最大输出电压</t>
  </si>
  <si>
    <t>次级MOS平台耐压@额定输出电压</t>
  </si>
  <si>
    <t>变压器感量</t>
  </si>
  <si>
    <t>BCM点电压</t>
  </si>
  <si>
    <t>主电容纹波</t>
  </si>
  <si>
    <t>Vbus最小电压</t>
  </si>
  <si>
    <t>BCM点占空比</t>
  </si>
  <si>
    <t>IC 钳位频率</t>
  </si>
  <si>
    <t>KHz</t>
  </si>
  <si>
    <t>变压器电感量@最大输出</t>
  </si>
  <si>
    <t>uH</t>
  </si>
  <si>
    <t>变压器电感量@额定输出</t>
  </si>
  <si>
    <t>变压器取值</t>
  </si>
  <si>
    <t>占空比@最小输入电压</t>
  </si>
  <si>
    <t>占空比@QR点</t>
  </si>
  <si>
    <t>IC CCM 钳位频率</t>
  </si>
  <si>
    <t>CCM状态
原副边电流</t>
  </si>
  <si>
    <t>∆I 电流变化量</t>
  </si>
  <si>
    <t>线径</t>
  </si>
  <si>
    <t>原边电流有效值</t>
  </si>
  <si>
    <t>腰线电流Iav_on</t>
  </si>
  <si>
    <t>副边电流有效值</t>
  </si>
  <si>
    <t>Ipk</t>
  </si>
  <si>
    <t>电流密度</t>
  </si>
  <si>
    <t>A/mm2</t>
  </si>
  <si>
    <t>Ip0 CCM初始电流</t>
  </si>
  <si>
    <t>原边线材平方</t>
  </si>
  <si>
    <t>mm2</t>
  </si>
  <si>
    <t>副边边线材平方</t>
  </si>
  <si>
    <t>副边尖峰电流Is_pk</t>
  </si>
  <si>
    <t>原边线径</t>
  </si>
  <si>
    <t>mm</t>
  </si>
  <si>
    <t>副边启始电流Is_o</t>
  </si>
  <si>
    <t>副边线径</t>
  </si>
  <si>
    <t>QR状态
原副边电流</t>
  </si>
  <si>
    <t>平均电流Irm</t>
  </si>
  <si>
    <t>变压器磁芯选择
CCM状态</t>
  </si>
  <si>
    <t>电流纹波率r=Ipk/Idc</t>
  </si>
  <si>
    <t>Idc 为输入平均电流</t>
  </si>
  <si>
    <t>Ve值</t>
  </si>
  <si>
    <t>mm3</t>
  </si>
  <si>
    <t>磁芯Ae值</t>
  </si>
  <si>
    <t>B值</t>
  </si>
  <si>
    <t>T</t>
  </si>
  <si>
    <t>Np原边匝数</t>
  </si>
  <si>
    <t>Ts</t>
  </si>
  <si>
    <t>Ns副边匝数</t>
  </si>
  <si>
    <t>副边取整</t>
  </si>
  <si>
    <t>原边</t>
  </si>
  <si>
    <t>原边取整</t>
  </si>
  <si>
    <t>实际匝比n</t>
  </si>
  <si>
    <t>实际Vor</t>
  </si>
  <si>
    <t>实际MOS耐压@最大输入电压</t>
  </si>
  <si>
    <t>实际副边MOS耐压@24V</t>
  </si>
  <si>
    <t>实际副边MOS平台电压@24V</t>
  </si>
  <si>
    <t>实际副边MOS耐压@28V</t>
  </si>
  <si>
    <t>实际副边MOS平台电压@28V</t>
  </si>
  <si>
    <t>实际占空比</t>
  </si>
  <si>
    <t>实际B值</t>
  </si>
  <si>
    <t>磁芯磁导率</t>
  </si>
  <si>
    <t>真空磁磁导率</t>
  </si>
  <si>
    <t>磁芯长度</t>
  </si>
  <si>
    <t>气隙因数Z</t>
  </si>
  <si>
    <t>变压器磁芯选择
QR状态</t>
  </si>
  <si>
    <t>按最大输出电压计算结果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</si>
</sst>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4" borderId="6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7" applyNumberFormat="0" applyFill="0" applyAlignment="0" applyProtection="0">
      <alignment vertical="center"/>
    </xf>
    <xf numFmtId="0" fontId="7" fillId="0" borderId="7" applyNumberFormat="0" applyFill="0" applyAlignment="0" applyProtection="0">
      <alignment vertical="center"/>
    </xf>
    <xf numFmtId="0" fontId="8" fillId="0" borderId="8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5" borderId="9" applyNumberFormat="0" applyAlignment="0" applyProtection="0">
      <alignment vertical="center"/>
    </xf>
    <xf numFmtId="0" fontId="10" fillId="6" borderId="10" applyNumberFormat="0" applyAlignment="0" applyProtection="0">
      <alignment vertical="center"/>
    </xf>
    <xf numFmtId="0" fontId="11" fillId="6" borderId="9" applyNumberFormat="0" applyAlignment="0" applyProtection="0">
      <alignment vertical="center"/>
    </xf>
    <xf numFmtId="0" fontId="12" fillId="7" borderId="11" applyNumberFormat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0" borderId="0" xfId="0" applyFill="1">
      <alignment vertical="center"/>
    </xf>
    <xf numFmtId="0" fontId="0" fillId="2" borderId="1" xfId="0" applyFill="1" applyBorder="1">
      <alignment vertical="center"/>
    </xf>
    <xf numFmtId="0" fontId="0" fillId="0" borderId="1" xfId="0" applyFill="1" applyBorder="1">
      <alignment vertical="center"/>
    </xf>
    <xf numFmtId="0" fontId="0" fillId="0" borderId="1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5" xfId="0" applyFill="1" applyBorder="1">
      <alignment vertical="center"/>
    </xf>
    <xf numFmtId="0" fontId="0" fillId="2" borderId="1" xfId="0" applyFill="1" applyBorder="1" applyAlignment="1">
      <alignment horizontal="right" vertical="center"/>
    </xf>
    <xf numFmtId="0" fontId="0" fillId="0" borderId="5" xfId="0" applyBorder="1">
      <alignment vertical="center"/>
    </xf>
    <xf numFmtId="0" fontId="0" fillId="0" borderId="1" xfId="0" applyBorder="1" applyAlignment="1">
      <alignment horizontal="center" vertical="center" wrapText="1"/>
    </xf>
    <xf numFmtId="0" fontId="0" fillId="3" borderId="0" xfId="0" applyFill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K93"/>
  <sheetViews>
    <sheetView tabSelected="1" topLeftCell="A16" workbookViewId="0">
      <selection activeCell="B37" sqref="B37:B93"/>
    </sheetView>
  </sheetViews>
  <sheetFormatPr defaultColWidth="9" defaultRowHeight="14.4"/>
  <cols>
    <col min="1" max="1" width="9" style="15"/>
    <col min="3" max="3" width="15.7777777777778" customWidth="1"/>
    <col min="4" max="4" width="30.6666666666667" customWidth="1"/>
    <col min="5" max="5" width="14.1111111111111"/>
    <col min="9" max="9" width="18" customWidth="1"/>
    <col min="10" max="12" width="12.8888888888889"/>
  </cols>
  <sheetData>
    <row r="2" spans="2:3">
      <c r="B2" t="s">
        <v>0</v>
      </c>
      <c r="C2" s="1"/>
    </row>
    <row r="3" spans="3:3">
      <c r="C3" s="2"/>
    </row>
    <row r="4" spans="3:6">
      <c r="C4" s="2"/>
      <c r="D4" s="1" t="s">
        <v>1</v>
      </c>
      <c r="E4" s="1">
        <v>24</v>
      </c>
      <c r="F4" t="s">
        <v>2</v>
      </c>
    </row>
    <row r="5" spans="3:6">
      <c r="C5" s="2"/>
      <c r="D5" s="1" t="s">
        <v>3</v>
      </c>
      <c r="E5" s="1">
        <v>2.5</v>
      </c>
      <c r="F5" t="s">
        <v>4</v>
      </c>
    </row>
    <row r="6" spans="3:6">
      <c r="C6" s="2"/>
      <c r="D6" s="1" t="s">
        <v>5</v>
      </c>
      <c r="E6" s="1">
        <v>28</v>
      </c>
      <c r="F6" t="s">
        <v>2</v>
      </c>
    </row>
    <row r="7" spans="3:6">
      <c r="C7" s="2"/>
      <c r="D7" s="1" t="s">
        <v>6</v>
      </c>
      <c r="E7" s="1">
        <v>91</v>
      </c>
      <c r="F7" t="s">
        <v>7</v>
      </c>
    </row>
    <row r="8" spans="3:6">
      <c r="C8" s="2"/>
      <c r="D8" s="1" t="s">
        <v>8</v>
      </c>
      <c r="E8" s="1">
        <v>90</v>
      </c>
      <c r="F8" t="s">
        <v>9</v>
      </c>
    </row>
    <row r="9" spans="3:6">
      <c r="C9" s="2"/>
      <c r="D9" s="3" t="s">
        <v>10</v>
      </c>
      <c r="E9" s="3">
        <v>275</v>
      </c>
      <c r="F9" t="s">
        <v>2</v>
      </c>
    </row>
    <row r="10" spans="3:6">
      <c r="C10" s="2"/>
      <c r="D10" s="4" t="s">
        <v>11</v>
      </c>
      <c r="E10" s="4">
        <f>E4*E5</f>
        <v>60</v>
      </c>
      <c r="F10" t="s">
        <v>12</v>
      </c>
    </row>
    <row r="11" spans="3:6">
      <c r="C11" s="2"/>
      <c r="D11" s="4" t="s">
        <v>13</v>
      </c>
      <c r="E11" s="4">
        <f>E10/E7*100</f>
        <v>65.9340659340659</v>
      </c>
      <c r="F11" t="s">
        <v>12</v>
      </c>
    </row>
    <row r="12" spans="3:6">
      <c r="C12" s="2"/>
      <c r="D12" s="4" t="s">
        <v>14</v>
      </c>
      <c r="E12" s="4">
        <f>E9*1.414</f>
        <v>388.85</v>
      </c>
      <c r="F12" t="s">
        <v>2</v>
      </c>
    </row>
    <row r="13" spans="3:6">
      <c r="C13" s="2"/>
      <c r="D13" s="5" t="s">
        <v>15</v>
      </c>
      <c r="E13" s="5">
        <f>E6*E5/(E7/100)</f>
        <v>76.9230769230769</v>
      </c>
      <c r="F13" t="s">
        <v>12</v>
      </c>
    </row>
    <row r="14" spans="4:6">
      <c r="D14" s="5" t="s">
        <v>16</v>
      </c>
      <c r="E14" s="5">
        <f>E5*E6</f>
        <v>70</v>
      </c>
      <c r="F14" t="s">
        <v>12</v>
      </c>
    </row>
    <row r="16" spans="3:6">
      <c r="C16" s="6" t="s">
        <v>17</v>
      </c>
      <c r="D16" s="3" t="s">
        <v>18</v>
      </c>
      <c r="E16" s="3">
        <v>700</v>
      </c>
      <c r="F16" t="s">
        <v>2</v>
      </c>
    </row>
    <row r="17" spans="3:6">
      <c r="C17" s="7"/>
      <c r="D17" s="3" t="s">
        <v>19</v>
      </c>
      <c r="E17" s="3">
        <v>50</v>
      </c>
      <c r="F17" t="s">
        <v>2</v>
      </c>
    </row>
    <row r="18" spans="3:6">
      <c r="C18" s="7"/>
      <c r="D18" s="3" t="s">
        <v>20</v>
      </c>
      <c r="E18" s="3">
        <v>100</v>
      </c>
      <c r="F18" t="s">
        <v>2</v>
      </c>
    </row>
    <row r="19" spans="3:6">
      <c r="C19" s="8"/>
      <c r="D19" s="5" t="s">
        <v>21</v>
      </c>
      <c r="E19" s="5">
        <f>E16-E17-E18-E12</f>
        <v>161.15</v>
      </c>
      <c r="F19" t="s">
        <v>2</v>
      </c>
    </row>
    <row r="20" spans="4:6">
      <c r="D20" s="3" t="s">
        <v>22</v>
      </c>
      <c r="E20" s="3">
        <v>150</v>
      </c>
      <c r="F20" t="s">
        <v>2</v>
      </c>
    </row>
    <row r="21" spans="4:5">
      <c r="D21" s="1" t="s">
        <v>23</v>
      </c>
      <c r="E21" s="1">
        <f>E20/E4</f>
        <v>6.25</v>
      </c>
    </row>
    <row r="22" spans="3:8">
      <c r="C22" s="6" t="s">
        <v>24</v>
      </c>
      <c r="D22" s="5" t="s">
        <v>25</v>
      </c>
      <c r="E22" s="5">
        <f>((E12+E18+E20)/E21)+E6</f>
        <v>130.216</v>
      </c>
      <c r="F22" t="s">
        <v>2</v>
      </c>
      <c r="G22" s="9" t="s">
        <v>26</v>
      </c>
      <c r="H22" s="9"/>
    </row>
    <row r="23" spans="3:8">
      <c r="C23" s="7"/>
      <c r="D23" s="5" t="s">
        <v>27</v>
      </c>
      <c r="E23" s="5">
        <f>((E12+E18+E21)/E21)+E4</f>
        <v>103.216</v>
      </c>
      <c r="F23" t="s">
        <v>2</v>
      </c>
      <c r="G23" s="9"/>
      <c r="H23" s="9"/>
    </row>
    <row r="24" spans="3:6">
      <c r="C24" s="7"/>
      <c r="D24" s="5" t="s">
        <v>28</v>
      </c>
      <c r="E24" s="5">
        <f>(((E6*E21)+E12)/E21)+E6</f>
        <v>118.216</v>
      </c>
      <c r="F24" t="s">
        <v>2</v>
      </c>
    </row>
    <row r="25" spans="3:6">
      <c r="C25" s="8"/>
      <c r="D25" s="5" t="s">
        <v>29</v>
      </c>
      <c r="E25" s="5">
        <f>(E12+(E4*E21))/E21+E4</f>
        <v>110.216</v>
      </c>
      <c r="F25" t="s">
        <v>2</v>
      </c>
    </row>
    <row r="26" spans="3:6">
      <c r="C26" s="10" t="s">
        <v>30</v>
      </c>
      <c r="D26" s="11" t="s">
        <v>31</v>
      </c>
      <c r="E26" s="12">
        <v>150</v>
      </c>
      <c r="F26" t="s">
        <v>2</v>
      </c>
    </row>
    <row r="27" spans="3:6">
      <c r="C27" s="10"/>
      <c r="D27" s="11" t="s">
        <v>32</v>
      </c>
      <c r="E27" s="3">
        <v>20</v>
      </c>
      <c r="F27" t="s">
        <v>2</v>
      </c>
    </row>
    <row r="28" spans="3:6">
      <c r="C28" s="10"/>
      <c r="D28" s="13" t="s">
        <v>33</v>
      </c>
      <c r="E28" s="5">
        <f>E26*1.414-E27</f>
        <v>192.1</v>
      </c>
      <c r="F28" t="s">
        <v>2</v>
      </c>
    </row>
    <row r="29" spans="3:5">
      <c r="C29" s="10"/>
      <c r="D29" s="13" t="s">
        <v>34</v>
      </c>
      <c r="E29" s="5">
        <f>E20/(E20+E28)</f>
        <v>0.438468284127448</v>
      </c>
    </row>
    <row r="30" spans="3:6">
      <c r="C30" s="10"/>
      <c r="D30" s="11" t="s">
        <v>35</v>
      </c>
      <c r="E30" s="3">
        <v>100</v>
      </c>
      <c r="F30" t="s">
        <v>36</v>
      </c>
    </row>
    <row r="31" spans="3:6">
      <c r="C31" s="10"/>
      <c r="D31" s="13" t="s">
        <v>37</v>
      </c>
      <c r="E31" s="5">
        <f>(E28*E28*E29*E29*0.5)/E13/E30*1000</f>
        <v>461.152381848754</v>
      </c>
      <c r="F31" t="s">
        <v>38</v>
      </c>
    </row>
    <row r="32" spans="3:6">
      <c r="C32" s="10"/>
      <c r="D32" s="13" t="s">
        <v>39</v>
      </c>
      <c r="E32" s="5">
        <f>(E28*E28*E29*E29*0.5)/E11/E30*1000</f>
        <v>538.01111215688</v>
      </c>
      <c r="F32" t="s">
        <v>38</v>
      </c>
    </row>
    <row r="33" spans="3:6">
      <c r="C33" s="10"/>
      <c r="D33" s="11" t="s">
        <v>40</v>
      </c>
      <c r="E33" s="3">
        <v>520</v>
      </c>
      <c r="F33" t="s">
        <v>38</v>
      </c>
    </row>
    <row r="34" spans="4:5">
      <c r="D34" t="s">
        <v>41</v>
      </c>
      <c r="E34">
        <f>E20/(E20+(E8*1.414-E27))</f>
        <v>0.583067713597139</v>
      </c>
    </row>
    <row r="35" spans="4:5">
      <c r="D35" t="s">
        <v>42</v>
      </c>
      <c r="E35">
        <f>E20/(E26+(E26*1.414-E27))</f>
        <v>0.438468284127448</v>
      </c>
    </row>
    <row r="36" spans="4:6">
      <c r="D36" s="1" t="s">
        <v>43</v>
      </c>
      <c r="E36" s="1">
        <v>85</v>
      </c>
      <c r="F36" t="s">
        <v>36</v>
      </c>
    </row>
    <row r="37" spans="2:11">
      <c r="B37" s="14"/>
      <c r="C37" s="14" t="s">
        <v>44</v>
      </c>
      <c r="D37" s="5" t="s">
        <v>45</v>
      </c>
      <c r="E37" s="5">
        <f>((E8*1.414-E27)*E34)/((E33*0.000001)*(E36*1000))</f>
        <v>1.41492857376536</v>
      </c>
      <c r="F37" t="s">
        <v>4</v>
      </c>
      <c r="H37" s="10" t="s">
        <v>46</v>
      </c>
      <c r="I37" s="5" t="s">
        <v>47</v>
      </c>
      <c r="J37" s="5">
        <f>E47</f>
        <v>0.698279928385237</v>
      </c>
      <c r="K37" s="5" t="s">
        <v>4</v>
      </c>
    </row>
    <row r="38" spans="2:11">
      <c r="B38" s="14"/>
      <c r="C38" s="10"/>
      <c r="D38" s="5" t="s">
        <v>48</v>
      </c>
      <c r="E38" s="5">
        <f>E13/E8/E34</f>
        <v>1.46586894586895</v>
      </c>
      <c r="F38" t="s">
        <v>4</v>
      </c>
      <c r="H38" s="10"/>
      <c r="I38" s="5" t="s">
        <v>49</v>
      </c>
      <c r="J38" s="5">
        <f>E49</f>
        <v>4.93887038725001</v>
      </c>
      <c r="K38" s="5" t="s">
        <v>4</v>
      </c>
    </row>
    <row r="39" spans="2:11">
      <c r="B39" s="14"/>
      <c r="C39" s="10"/>
      <c r="D39" s="5" t="s">
        <v>50</v>
      </c>
      <c r="E39" s="5">
        <f>E38+(E37/2)</f>
        <v>2.17333323275163</v>
      </c>
      <c r="F39" t="s">
        <v>4</v>
      </c>
      <c r="H39" s="10"/>
      <c r="I39" s="5" t="s">
        <v>51</v>
      </c>
      <c r="J39" s="5">
        <v>4</v>
      </c>
      <c r="K39" s="5" t="s">
        <v>52</v>
      </c>
    </row>
    <row r="40" spans="2:11">
      <c r="B40" s="14"/>
      <c r="C40" s="10"/>
      <c r="D40" s="5" t="s">
        <v>53</v>
      </c>
      <c r="E40" s="5">
        <f>E38-(E37/2)</f>
        <v>0.758404658986263</v>
      </c>
      <c r="F40" t="s">
        <v>4</v>
      </c>
      <c r="H40" s="10"/>
      <c r="I40" s="5" t="s">
        <v>54</v>
      </c>
      <c r="J40" s="5">
        <f>J37/J38</f>
        <v>0.141384542139006</v>
      </c>
      <c r="K40" s="5" t="s">
        <v>55</v>
      </c>
    </row>
    <row r="41" spans="2:11">
      <c r="B41" s="14"/>
      <c r="C41" s="10"/>
      <c r="D41" s="5" t="s">
        <v>47</v>
      </c>
      <c r="E41" s="5">
        <f>SQRT((E39*E39+E39*E40*E40*E40)*E34/3)</f>
        <v>1.04989264481174</v>
      </c>
      <c r="F41" t="s">
        <v>4</v>
      </c>
      <c r="H41" s="10"/>
      <c r="I41" s="5" t="s">
        <v>56</v>
      </c>
      <c r="J41" s="5">
        <f>J38/J39</f>
        <v>1.2347175968125</v>
      </c>
      <c r="K41" s="5" t="s">
        <v>55</v>
      </c>
    </row>
    <row r="42" spans="2:11">
      <c r="B42" s="14"/>
      <c r="C42" s="10"/>
      <c r="D42" s="5" t="s">
        <v>57</v>
      </c>
      <c r="E42" s="5">
        <f>E39*E21</f>
        <v>13.5833327046977</v>
      </c>
      <c r="F42" t="s">
        <v>4</v>
      </c>
      <c r="H42" s="10"/>
      <c r="I42" s="5" t="s">
        <v>58</v>
      </c>
      <c r="J42" s="5">
        <f>SQRT(J37/J39/3.14)*2</f>
        <v>0.471574111670527</v>
      </c>
      <c r="K42" s="5" t="s">
        <v>59</v>
      </c>
    </row>
    <row r="43" spans="2:11">
      <c r="B43" s="14"/>
      <c r="C43" s="10"/>
      <c r="D43" s="5" t="s">
        <v>60</v>
      </c>
      <c r="E43" s="5">
        <f>E40*E21</f>
        <v>4.74002911866415</v>
      </c>
      <c r="F43" t="s">
        <v>4</v>
      </c>
      <c r="H43" s="10"/>
      <c r="I43" s="5" t="s">
        <v>61</v>
      </c>
      <c r="J43" s="5">
        <f>SQRT(J38/J39/3.14)*2</f>
        <v>1.25414857906066</v>
      </c>
      <c r="K43" s="5" t="s">
        <v>59</v>
      </c>
    </row>
    <row r="44" spans="2:11">
      <c r="B44" s="14"/>
      <c r="C44" s="10"/>
      <c r="D44" s="5" t="s">
        <v>49</v>
      </c>
      <c r="E44" s="5">
        <f>SQRT((E42*E42+E42*E43+E43*E43)*(1-E34)/3)</f>
        <v>6.14108641150664</v>
      </c>
      <c r="F44" t="s">
        <v>4</v>
      </c>
      <c r="H44" s="10"/>
      <c r="I44" s="5"/>
      <c r="J44" s="5"/>
      <c r="K44" s="5"/>
    </row>
    <row r="45" spans="2:6">
      <c r="B45" s="14"/>
      <c r="C45" s="14" t="s">
        <v>62</v>
      </c>
      <c r="D45" s="5" t="s">
        <v>63</v>
      </c>
      <c r="E45" s="5">
        <f>E13/(E26*1.414-E27)/E35</f>
        <v>0.913252979884942</v>
      </c>
      <c r="F45" t="s">
        <v>4</v>
      </c>
    </row>
    <row r="46" spans="2:6">
      <c r="B46" s="14"/>
      <c r="C46" s="10"/>
      <c r="D46" s="5" t="s">
        <v>50</v>
      </c>
      <c r="E46" s="5">
        <f>E45*2</f>
        <v>1.82650595976988</v>
      </c>
      <c r="F46" t="s">
        <v>4</v>
      </c>
    </row>
    <row r="47" spans="2:6">
      <c r="B47" s="14"/>
      <c r="C47" s="10"/>
      <c r="D47" s="5" t="s">
        <v>47</v>
      </c>
      <c r="E47" s="5">
        <f>E46*SQRT(E35/3)</f>
        <v>0.698279928385237</v>
      </c>
      <c r="F47" t="s">
        <v>4</v>
      </c>
    </row>
    <row r="48" spans="2:6">
      <c r="B48" s="14"/>
      <c r="C48" s="10"/>
      <c r="D48" s="5" t="s">
        <v>57</v>
      </c>
      <c r="E48" s="5">
        <f>E46*E21</f>
        <v>11.4156622485618</v>
      </c>
      <c r="F48" t="s">
        <v>4</v>
      </c>
    </row>
    <row r="49" spans="2:6">
      <c r="B49" s="14"/>
      <c r="C49" s="10"/>
      <c r="D49" s="5" t="s">
        <v>49</v>
      </c>
      <c r="E49" s="5">
        <f>E48*SQRT((1-E35)/3)</f>
        <v>4.93887038725001</v>
      </c>
      <c r="F49" t="s">
        <v>4</v>
      </c>
    </row>
    <row r="50" spans="2:7">
      <c r="B50" s="14"/>
      <c r="C50" s="14" t="s">
        <v>64</v>
      </c>
      <c r="D50" s="5" t="s">
        <v>65</v>
      </c>
      <c r="E50" s="5">
        <f>E39/(E14/E26)</f>
        <v>4.65714264161063</v>
      </c>
      <c r="G50" t="s">
        <v>66</v>
      </c>
    </row>
    <row r="51" spans="2:6">
      <c r="B51" s="14"/>
      <c r="C51" s="14"/>
      <c r="D51" s="5" t="s">
        <v>67</v>
      </c>
      <c r="E51" s="5">
        <f>0.7*(2+E50)*(2+E50)*E13/(E36)/E50*1000</f>
        <v>6028.25961159929</v>
      </c>
      <c r="F51" t="s">
        <v>68</v>
      </c>
    </row>
    <row r="52" spans="2:6">
      <c r="B52" s="14"/>
      <c r="C52" s="14"/>
      <c r="D52" s="3" t="s">
        <v>69</v>
      </c>
      <c r="E52" s="3">
        <v>118</v>
      </c>
      <c r="F52" t="s">
        <v>55</v>
      </c>
    </row>
    <row r="53" spans="2:6">
      <c r="B53" s="14"/>
      <c r="C53" s="14"/>
      <c r="D53" s="3" t="s">
        <v>70</v>
      </c>
      <c r="E53" s="3">
        <v>0.23</v>
      </c>
      <c r="F53" t="s">
        <v>71</v>
      </c>
    </row>
    <row r="54" spans="2:6">
      <c r="B54" s="14"/>
      <c r="C54" s="14"/>
      <c r="D54" s="5" t="s">
        <v>72</v>
      </c>
      <c r="E54" s="5">
        <f>E33*E39/E52/E53</f>
        <v>41.6408725508786</v>
      </c>
      <c r="F54" t="s">
        <v>73</v>
      </c>
    </row>
    <row r="55" spans="2:6">
      <c r="B55" s="14"/>
      <c r="C55" s="14"/>
      <c r="D55" s="5" t="s">
        <v>74</v>
      </c>
      <c r="E55" s="5">
        <f>E54/E21</f>
        <v>6.66253960814058</v>
      </c>
      <c r="F55" t="s">
        <v>73</v>
      </c>
    </row>
    <row r="56" spans="2:6">
      <c r="B56" s="14"/>
      <c r="C56" s="14"/>
      <c r="D56" s="3" t="s">
        <v>75</v>
      </c>
      <c r="E56" s="3">
        <v>6</v>
      </c>
      <c r="F56" t="s">
        <v>73</v>
      </c>
    </row>
    <row r="57" spans="2:6">
      <c r="B57" s="14"/>
      <c r="C57" s="14"/>
      <c r="D57" s="5" t="s">
        <v>76</v>
      </c>
      <c r="E57" s="5">
        <f>E56*E21</f>
        <v>37.5</v>
      </c>
      <c r="F57" t="s">
        <v>73</v>
      </c>
    </row>
    <row r="58" spans="2:6">
      <c r="B58" s="14"/>
      <c r="C58" s="14"/>
      <c r="D58" s="3" t="s">
        <v>77</v>
      </c>
      <c r="E58" s="3">
        <v>38</v>
      </c>
      <c r="F58" t="s">
        <v>73</v>
      </c>
    </row>
    <row r="59" spans="2:5">
      <c r="B59" s="14"/>
      <c r="C59" s="14"/>
      <c r="D59" s="5" t="s">
        <v>78</v>
      </c>
      <c r="E59" s="5">
        <f>E58/E56</f>
        <v>6.33333333333333</v>
      </c>
    </row>
    <row r="60" spans="2:6">
      <c r="B60" s="14"/>
      <c r="C60" s="14"/>
      <c r="D60" s="5" t="s">
        <v>79</v>
      </c>
      <c r="E60" s="5">
        <f>E4*E59</f>
        <v>152</v>
      </c>
      <c r="F60" t="s">
        <v>2</v>
      </c>
    </row>
    <row r="61" spans="2:6">
      <c r="B61" s="14"/>
      <c r="C61" s="14"/>
      <c r="D61" s="5" t="s">
        <v>80</v>
      </c>
      <c r="E61" s="5">
        <f>E60+E12+E18</f>
        <v>640.85</v>
      </c>
      <c r="F61" t="s">
        <v>2</v>
      </c>
    </row>
    <row r="62" spans="2:6">
      <c r="B62" s="14"/>
      <c r="C62" s="14"/>
      <c r="D62" s="5" t="s">
        <v>81</v>
      </c>
      <c r="E62" s="5">
        <f>(E61/E59)+E4</f>
        <v>125.186842105263</v>
      </c>
      <c r="F62" t="s">
        <v>2</v>
      </c>
    </row>
    <row r="63" spans="2:6">
      <c r="B63" s="14"/>
      <c r="C63" s="14"/>
      <c r="D63" s="5" t="s">
        <v>82</v>
      </c>
      <c r="E63" s="5">
        <f>(E61-E18)/E59</f>
        <v>85.3973684210527</v>
      </c>
      <c r="F63" t="s">
        <v>2</v>
      </c>
    </row>
    <row r="64" spans="2:6">
      <c r="B64" s="14"/>
      <c r="C64" s="14"/>
      <c r="D64" s="5" t="s">
        <v>83</v>
      </c>
      <c r="E64" s="5">
        <f>(E12+(E6*E59)+E18)/E59+E6</f>
        <v>133.186842105263</v>
      </c>
      <c r="F64" t="s">
        <v>2</v>
      </c>
    </row>
    <row r="65" spans="2:6">
      <c r="B65" s="14"/>
      <c r="C65" s="14"/>
      <c r="D65" s="5" t="s">
        <v>84</v>
      </c>
      <c r="E65" s="5">
        <f>(((E12+(E6*E59))/E59)+E6)</f>
        <v>117.397368421053</v>
      </c>
      <c r="F65" t="s">
        <v>2</v>
      </c>
    </row>
    <row r="66" spans="2:5">
      <c r="B66" s="14"/>
      <c r="C66" s="14"/>
      <c r="D66" s="5" t="s">
        <v>85</v>
      </c>
      <c r="E66" s="5">
        <f>E60/(E60+E8*1.414)</f>
        <v>0.544295638473107</v>
      </c>
    </row>
    <row r="67" spans="2:5">
      <c r="B67" s="14"/>
      <c r="C67" s="14"/>
      <c r="D67" s="5" t="s">
        <v>86</v>
      </c>
      <c r="E67" s="5">
        <f>E33*E39/E58/E52</f>
        <v>0.252036860176371</v>
      </c>
    </row>
    <row r="68" spans="2:5">
      <c r="B68" s="14"/>
      <c r="C68" s="14"/>
      <c r="D68" s="5" t="s">
        <v>87</v>
      </c>
      <c r="E68" s="5">
        <v>2300</v>
      </c>
    </row>
    <row r="69" spans="2:5">
      <c r="B69" s="14"/>
      <c r="C69" s="14"/>
      <c r="D69" s="5" t="s">
        <v>88</v>
      </c>
      <c r="E69" s="5">
        <f>4*3.14*0.0000001</f>
        <v>1.256e-6</v>
      </c>
    </row>
    <row r="70" spans="2:6">
      <c r="B70" s="14"/>
      <c r="C70" s="14"/>
      <c r="D70" s="5" t="s">
        <v>89</v>
      </c>
      <c r="E70" s="5">
        <v>46.3</v>
      </c>
      <c r="F70" t="s">
        <v>59</v>
      </c>
    </row>
    <row r="71" spans="2:5">
      <c r="B71" s="14"/>
      <c r="C71" s="14"/>
      <c r="D71" s="5" t="s">
        <v>90</v>
      </c>
      <c r="E71" s="5">
        <f>(1/(E33*0.000001))*(E68*E69*E52*0.0001/E70*0.01)*E58*E58</f>
        <v>0.0204447752782854</v>
      </c>
    </row>
    <row r="72" spans="2:5">
      <c r="B72" s="14"/>
      <c r="C72" s="14" t="s">
        <v>91</v>
      </c>
      <c r="D72" s="5" t="s">
        <v>65</v>
      </c>
      <c r="E72" s="5">
        <f>E46/(E13/E26)</f>
        <v>3.56168662155128</v>
      </c>
    </row>
    <row r="73" spans="2:6">
      <c r="B73" s="14"/>
      <c r="C73" s="14"/>
      <c r="D73" s="5" t="s">
        <v>67</v>
      </c>
      <c r="E73" s="5">
        <f>0.7*(2+E72)*(2+E72)*E13/(E30)/E72*1000</f>
        <v>4676.4038748519</v>
      </c>
      <c r="F73" t="s">
        <v>68</v>
      </c>
    </row>
    <row r="74" spans="2:6">
      <c r="B74" s="14"/>
      <c r="C74" s="14"/>
      <c r="D74" s="3" t="s">
        <v>69</v>
      </c>
      <c r="E74" s="3">
        <v>118</v>
      </c>
      <c r="F74" t="s">
        <v>55</v>
      </c>
    </row>
    <row r="75" spans="2:6">
      <c r="B75" s="14"/>
      <c r="C75" s="14"/>
      <c r="D75" s="3" t="s">
        <v>70</v>
      </c>
      <c r="E75" s="3">
        <v>0.23</v>
      </c>
      <c r="F75" t="s">
        <v>71</v>
      </c>
    </row>
    <row r="76" spans="2:6">
      <c r="B76" s="14"/>
      <c r="C76" s="14"/>
      <c r="D76" s="5" t="s">
        <v>72</v>
      </c>
      <c r="E76" s="5">
        <f>E33*E46/E74/E75</f>
        <v>34.9956926706094</v>
      </c>
      <c r="F76" t="s">
        <v>73</v>
      </c>
    </row>
    <row r="77" spans="2:6">
      <c r="B77" s="14"/>
      <c r="C77" s="14"/>
      <c r="D77" s="5" t="s">
        <v>74</v>
      </c>
      <c r="E77" s="5">
        <f>E76/E21</f>
        <v>5.59931082729751</v>
      </c>
      <c r="F77" t="s">
        <v>73</v>
      </c>
    </row>
    <row r="78" spans="2:6">
      <c r="B78" s="14"/>
      <c r="C78" s="14"/>
      <c r="D78" s="3" t="s">
        <v>75</v>
      </c>
      <c r="E78" s="3">
        <v>5</v>
      </c>
      <c r="F78" t="s">
        <v>73</v>
      </c>
    </row>
    <row r="79" spans="2:6">
      <c r="B79" s="14"/>
      <c r="C79" s="14"/>
      <c r="D79" s="5" t="s">
        <v>76</v>
      </c>
      <c r="E79" s="5">
        <f>E78*E44</f>
        <v>30.7054320575332</v>
      </c>
      <c r="F79" t="s">
        <v>73</v>
      </c>
    </row>
    <row r="80" spans="2:6">
      <c r="B80" s="14"/>
      <c r="C80" s="14"/>
      <c r="D80" s="3" t="s">
        <v>77</v>
      </c>
      <c r="E80" s="3">
        <v>30</v>
      </c>
      <c r="F80" t="s">
        <v>73</v>
      </c>
    </row>
    <row r="81" spans="2:5">
      <c r="B81" s="14"/>
      <c r="C81" s="14"/>
      <c r="D81" s="5" t="s">
        <v>78</v>
      </c>
      <c r="E81" s="5">
        <f>E80/E78</f>
        <v>6</v>
      </c>
    </row>
    <row r="82" spans="2:6">
      <c r="B82" s="14"/>
      <c r="C82" s="14"/>
      <c r="D82" s="5" t="s">
        <v>79</v>
      </c>
      <c r="E82" s="5">
        <f>E4*E81</f>
        <v>144</v>
      </c>
      <c r="F82" t="s">
        <v>2</v>
      </c>
    </row>
    <row r="83" spans="2:6">
      <c r="B83" s="14"/>
      <c r="C83" s="14"/>
      <c r="D83" s="5" t="s">
        <v>80</v>
      </c>
      <c r="E83" s="5">
        <f>E82+E12+E18</f>
        <v>632.85</v>
      </c>
      <c r="F83" t="s">
        <v>2</v>
      </c>
    </row>
    <row r="84" spans="2:6">
      <c r="B84" s="14"/>
      <c r="C84" s="14"/>
      <c r="D84" s="5" t="s">
        <v>81</v>
      </c>
      <c r="E84" s="5">
        <f>(E83/E81)+E4</f>
        <v>129.475</v>
      </c>
      <c r="F84" t="s">
        <v>2</v>
      </c>
    </row>
    <row r="85" spans="2:6">
      <c r="B85" s="14"/>
      <c r="C85" s="14"/>
      <c r="D85" s="5" t="s">
        <v>82</v>
      </c>
      <c r="E85" s="5">
        <f>(E83-E18)/E81</f>
        <v>88.8083333333333</v>
      </c>
      <c r="F85" t="s">
        <v>2</v>
      </c>
    </row>
    <row r="86" spans="2:6">
      <c r="B86" s="14"/>
      <c r="C86" s="14"/>
      <c r="D86" s="5" t="s">
        <v>83</v>
      </c>
      <c r="E86" s="5">
        <f>(E82+E18+E12)/E81+E6</f>
        <v>133.475</v>
      </c>
      <c r="F86" t="s">
        <v>2</v>
      </c>
    </row>
    <row r="87" spans="2:6">
      <c r="B87" s="14"/>
      <c r="C87" s="14"/>
      <c r="D87" s="5" t="s">
        <v>84</v>
      </c>
      <c r="E87" s="5">
        <f>(E82+E12)/E81+E6</f>
        <v>116.808333333333</v>
      </c>
      <c r="F87" t="s">
        <v>2</v>
      </c>
    </row>
    <row r="88" spans="2:5">
      <c r="B88" s="14"/>
      <c r="C88" s="14"/>
      <c r="D88" s="5" t="s">
        <v>85</v>
      </c>
      <c r="E88" s="5">
        <f>E82/(E82+E33*1.414)</f>
        <v>0.163770357565281</v>
      </c>
    </row>
    <row r="89" spans="2:5">
      <c r="B89" s="14"/>
      <c r="C89" s="14"/>
      <c r="D89" s="5" t="s">
        <v>86</v>
      </c>
      <c r="E89" s="5">
        <f>E33*E46/E80/E74</f>
        <v>0.268300310474672</v>
      </c>
    </row>
    <row r="90" spans="2:5">
      <c r="B90" s="14"/>
      <c r="C90" s="14"/>
      <c r="D90" s="5" t="s">
        <v>87</v>
      </c>
      <c r="E90" s="5">
        <v>2300</v>
      </c>
    </row>
    <row r="91" spans="2:5">
      <c r="B91" s="14"/>
      <c r="C91" s="14"/>
      <c r="D91" s="5" t="s">
        <v>88</v>
      </c>
      <c r="E91" s="5">
        <f>4*3.14*0.0000001</f>
        <v>1.256e-6</v>
      </c>
    </row>
    <row r="92" spans="2:6">
      <c r="B92" s="14"/>
      <c r="C92" s="14"/>
      <c r="D92" s="5" t="s">
        <v>89</v>
      </c>
      <c r="E92" s="5">
        <v>55.5</v>
      </c>
      <c r="F92" t="s">
        <v>59</v>
      </c>
    </row>
    <row r="93" spans="2:5">
      <c r="B93" s="14"/>
      <c r="C93" s="14"/>
      <c r="D93" s="5" t="s">
        <v>90</v>
      </c>
      <c r="E93" s="5">
        <f>(1/(E55*0.000001))*(E90*E91*E74*0.0001/E92*0.01)*E80*E80</f>
        <v>0.829677294688617</v>
      </c>
    </row>
  </sheetData>
  <mergeCells count="10">
    <mergeCell ref="B37:B93"/>
    <mergeCell ref="C16:C19"/>
    <mergeCell ref="C22:C25"/>
    <mergeCell ref="C26:C33"/>
    <mergeCell ref="C37:C44"/>
    <mergeCell ref="C45:C49"/>
    <mergeCell ref="C50:C71"/>
    <mergeCell ref="C72:C93"/>
    <mergeCell ref="H37:H44"/>
    <mergeCell ref="G22:H23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H93"/>
  <sheetViews>
    <sheetView workbookViewId="0">
      <selection activeCell="I44" sqref="I44"/>
    </sheetView>
  </sheetViews>
  <sheetFormatPr defaultColWidth="9" defaultRowHeight="14.4" outlineLevelCol="7"/>
  <cols>
    <col min="3" max="3" width="15.7777777777778" customWidth="1"/>
    <col min="4" max="4" width="30.6666666666667" customWidth="1"/>
    <col min="5" max="5" width="14.1111111111111"/>
  </cols>
  <sheetData>
    <row r="2" spans="2:3">
      <c r="B2" t="s">
        <v>0</v>
      </c>
      <c r="C2" s="1"/>
    </row>
    <row r="3" spans="3:3">
      <c r="C3" s="2"/>
    </row>
    <row r="4" spans="3:6">
      <c r="C4" s="2"/>
      <c r="D4" s="1" t="s">
        <v>1</v>
      </c>
      <c r="E4" s="1">
        <v>24</v>
      </c>
      <c r="F4" t="s">
        <v>2</v>
      </c>
    </row>
    <row r="5" spans="3:6">
      <c r="C5" s="2"/>
      <c r="D5" s="1" t="s">
        <v>3</v>
      </c>
      <c r="E5" s="1">
        <v>2.5</v>
      </c>
      <c r="F5" t="s">
        <v>4</v>
      </c>
    </row>
    <row r="6" spans="3:6">
      <c r="C6" s="2"/>
      <c r="D6" s="1" t="s">
        <v>5</v>
      </c>
      <c r="E6" s="1">
        <v>28</v>
      </c>
      <c r="F6" t="s">
        <v>2</v>
      </c>
    </row>
    <row r="7" spans="3:6">
      <c r="C7" s="2"/>
      <c r="D7" s="1" t="s">
        <v>6</v>
      </c>
      <c r="E7" s="1">
        <v>91</v>
      </c>
      <c r="F7" t="s">
        <v>7</v>
      </c>
    </row>
    <row r="8" spans="3:6">
      <c r="C8" s="2"/>
      <c r="D8" s="1" t="s">
        <v>8</v>
      </c>
      <c r="E8" s="1">
        <v>90</v>
      </c>
      <c r="F8" t="s">
        <v>9</v>
      </c>
    </row>
    <row r="9" spans="3:6">
      <c r="C9" s="2"/>
      <c r="D9" s="3" t="s">
        <v>10</v>
      </c>
      <c r="E9" s="3">
        <v>275</v>
      </c>
      <c r="F9" t="s">
        <v>2</v>
      </c>
    </row>
    <row r="10" spans="3:6">
      <c r="C10" s="2"/>
      <c r="D10" s="4" t="s">
        <v>11</v>
      </c>
      <c r="E10" s="4">
        <f>E4*E5</f>
        <v>60</v>
      </c>
      <c r="F10" t="s">
        <v>12</v>
      </c>
    </row>
    <row r="11" spans="3:6">
      <c r="C11" s="2"/>
      <c r="D11" s="4" t="s">
        <v>13</v>
      </c>
      <c r="E11" s="4">
        <f>E10/E7*100</f>
        <v>65.9340659340659</v>
      </c>
      <c r="F11" t="s">
        <v>12</v>
      </c>
    </row>
    <row r="12" spans="3:6">
      <c r="C12" s="2"/>
      <c r="D12" s="4" t="s">
        <v>14</v>
      </c>
      <c r="E12" s="4">
        <f>E9*1.414</f>
        <v>388.85</v>
      </c>
      <c r="F12" t="s">
        <v>2</v>
      </c>
    </row>
    <row r="13" spans="3:6">
      <c r="C13" s="2"/>
      <c r="D13" s="5" t="s">
        <v>15</v>
      </c>
      <c r="E13" s="5">
        <f>E6*E5/(E7/100)</f>
        <v>76.9230769230769</v>
      </c>
      <c r="F13" t="s">
        <v>12</v>
      </c>
    </row>
    <row r="14" spans="4:6">
      <c r="D14" s="5" t="s">
        <v>16</v>
      </c>
      <c r="E14" s="5">
        <f>E5*E6</f>
        <v>70</v>
      </c>
      <c r="F14" t="s">
        <v>12</v>
      </c>
    </row>
    <row r="16" spans="3:6">
      <c r="C16" s="6" t="s">
        <v>17</v>
      </c>
      <c r="D16" s="3" t="s">
        <v>18</v>
      </c>
      <c r="E16" s="3">
        <v>700</v>
      </c>
      <c r="F16" t="s">
        <v>2</v>
      </c>
    </row>
    <row r="17" spans="3:6">
      <c r="C17" s="7"/>
      <c r="D17" s="3" t="s">
        <v>19</v>
      </c>
      <c r="E17" s="3">
        <v>50</v>
      </c>
      <c r="F17" t="s">
        <v>2</v>
      </c>
    </row>
    <row r="18" spans="3:6">
      <c r="C18" s="7"/>
      <c r="D18" s="3" t="s">
        <v>20</v>
      </c>
      <c r="E18" s="3">
        <v>140</v>
      </c>
      <c r="F18" t="s">
        <v>2</v>
      </c>
    </row>
    <row r="19" spans="3:6">
      <c r="C19" s="8"/>
      <c r="D19" s="5" t="s">
        <v>21</v>
      </c>
      <c r="E19" s="5">
        <f>E16-E17-E18-E12</f>
        <v>121.15</v>
      </c>
      <c r="F19" t="s">
        <v>2</v>
      </c>
    </row>
    <row r="20" spans="4:6">
      <c r="D20" s="3" t="s">
        <v>22</v>
      </c>
      <c r="E20" s="3">
        <v>150</v>
      </c>
      <c r="F20" t="s">
        <v>2</v>
      </c>
    </row>
    <row r="21" spans="4:5">
      <c r="D21" s="1" t="s">
        <v>23</v>
      </c>
      <c r="E21" s="1">
        <f>E20/E4</f>
        <v>6.25</v>
      </c>
    </row>
    <row r="22" spans="3:8">
      <c r="C22" s="6" t="s">
        <v>24</v>
      </c>
      <c r="D22" s="5" t="s">
        <v>25</v>
      </c>
      <c r="E22" s="5">
        <f>((E12+E18+E20)/E21)+E6</f>
        <v>136.616</v>
      </c>
      <c r="F22" t="s">
        <v>2</v>
      </c>
      <c r="G22" s="9" t="s">
        <v>26</v>
      </c>
      <c r="H22" s="9"/>
    </row>
    <row r="23" spans="3:8">
      <c r="C23" s="7"/>
      <c r="D23" s="5" t="s">
        <v>27</v>
      </c>
      <c r="E23" s="5">
        <f>((E12+E18+E21)/E21)+E4</f>
        <v>109.616</v>
      </c>
      <c r="F23" t="s">
        <v>2</v>
      </c>
      <c r="G23" s="9"/>
      <c r="H23" s="9"/>
    </row>
    <row r="24" spans="3:6">
      <c r="C24" s="7"/>
      <c r="D24" s="5" t="s">
        <v>28</v>
      </c>
      <c r="E24" s="5">
        <f>(((E6*E21)+E12)/E21)+E6</f>
        <v>118.216</v>
      </c>
      <c r="F24" t="s">
        <v>2</v>
      </c>
    </row>
    <row r="25" spans="3:6">
      <c r="C25" s="8"/>
      <c r="D25" s="5" t="s">
        <v>29</v>
      </c>
      <c r="E25" s="5">
        <f>(E12+(E4*E21))/E21+E4</f>
        <v>110.216</v>
      </c>
      <c r="F25" t="s">
        <v>2</v>
      </c>
    </row>
    <row r="26" spans="3:6">
      <c r="C26" s="10" t="s">
        <v>30</v>
      </c>
      <c r="D26" s="11" t="s">
        <v>31</v>
      </c>
      <c r="E26" s="12">
        <v>150</v>
      </c>
      <c r="F26" t="s">
        <v>2</v>
      </c>
    </row>
    <row r="27" spans="3:6">
      <c r="C27" s="10"/>
      <c r="D27" s="11" t="s">
        <v>32</v>
      </c>
      <c r="E27" s="3">
        <v>20</v>
      </c>
      <c r="F27" t="s">
        <v>2</v>
      </c>
    </row>
    <row r="28" spans="3:6">
      <c r="C28" s="10"/>
      <c r="D28" s="13" t="s">
        <v>33</v>
      </c>
      <c r="E28" s="5">
        <f>E26*1.414-E27</f>
        <v>192.1</v>
      </c>
      <c r="F28" t="s">
        <v>2</v>
      </c>
    </row>
    <row r="29" spans="3:5">
      <c r="C29" s="10"/>
      <c r="D29" s="13" t="s">
        <v>34</v>
      </c>
      <c r="E29" s="5">
        <f>E20/(E20+E28)</f>
        <v>0.438468284127448</v>
      </c>
    </row>
    <row r="30" spans="3:6">
      <c r="C30" s="10"/>
      <c r="D30" s="11" t="s">
        <v>35</v>
      </c>
      <c r="E30" s="3">
        <v>100</v>
      </c>
      <c r="F30" t="s">
        <v>36</v>
      </c>
    </row>
    <row r="31" spans="3:6">
      <c r="C31" s="10"/>
      <c r="D31" s="13" t="s">
        <v>37</v>
      </c>
      <c r="E31" s="5">
        <f>(E28*E28*E29*E29*0.5)/E13/E30*1000</f>
        <v>461.152381848754</v>
      </c>
      <c r="F31" t="s">
        <v>38</v>
      </c>
    </row>
    <row r="32" spans="3:6">
      <c r="C32" s="10"/>
      <c r="D32" s="13" t="s">
        <v>39</v>
      </c>
      <c r="E32" s="5">
        <f>(E28*E28*E29*E29*0.5)/E11/E30*1000</f>
        <v>538.01111215688</v>
      </c>
      <c r="F32" t="s">
        <v>38</v>
      </c>
    </row>
    <row r="33" spans="3:6">
      <c r="C33" s="10"/>
      <c r="D33" s="11" t="s">
        <v>40</v>
      </c>
      <c r="E33" s="3">
        <v>460</v>
      </c>
      <c r="F33" t="s">
        <v>38</v>
      </c>
    </row>
    <row r="34" spans="4:5">
      <c r="D34" t="s">
        <v>41</v>
      </c>
      <c r="E34">
        <f>E20/(E20+(E8*1.414-E27))</f>
        <v>0.583067713597139</v>
      </c>
    </row>
    <row r="35" spans="4:5">
      <c r="D35" t="s">
        <v>42</v>
      </c>
      <c r="E35">
        <f>E20/(E26+(E26*1.414-E27))</f>
        <v>0.438468284127448</v>
      </c>
    </row>
    <row r="36" spans="4:6">
      <c r="D36" s="1" t="s">
        <v>43</v>
      </c>
      <c r="E36" s="1">
        <v>85</v>
      </c>
      <c r="F36" t="s">
        <v>36</v>
      </c>
    </row>
    <row r="37" spans="2:8">
      <c r="B37" s="14" t="s">
        <v>92</v>
      </c>
      <c r="C37" s="14" t="s">
        <v>44</v>
      </c>
      <c r="D37" s="5" t="s">
        <v>45</v>
      </c>
      <c r="E37" s="5">
        <f>((E8*1.414-E27)*E34)/((E33*0.000001)*(E36*1000))</f>
        <v>1.59948447469128</v>
      </c>
      <c r="F37" t="s">
        <v>4</v>
      </c>
      <c r="H37" s="9" t="s">
        <v>46</v>
      </c>
    </row>
    <row r="38" spans="2:8">
      <c r="B38" s="14"/>
      <c r="C38" s="10"/>
      <c r="D38" s="5" t="s">
        <v>48</v>
      </c>
      <c r="E38" s="5">
        <f>E13/E8/E34</f>
        <v>1.46586894586895</v>
      </c>
      <c r="F38" t="s">
        <v>4</v>
      </c>
      <c r="H38" s="9"/>
    </row>
    <row r="39" spans="2:8">
      <c r="B39" s="14"/>
      <c r="C39" s="10"/>
      <c r="D39" s="5" t="s">
        <v>50</v>
      </c>
      <c r="E39" s="5">
        <f>E38+(E37/2)</f>
        <v>2.26561118321459</v>
      </c>
      <c r="F39" t="s">
        <v>4</v>
      </c>
      <c r="H39" s="9"/>
    </row>
    <row r="40" spans="2:8">
      <c r="B40" s="14"/>
      <c r="C40" s="10"/>
      <c r="D40" s="5" t="s">
        <v>53</v>
      </c>
      <c r="E40" s="5">
        <f>E38-(E37/2)</f>
        <v>0.666126708523309</v>
      </c>
      <c r="F40" t="s">
        <v>4</v>
      </c>
      <c r="H40" s="9"/>
    </row>
    <row r="41" spans="2:8">
      <c r="B41" s="14"/>
      <c r="C41" s="10"/>
      <c r="D41" s="5" t="s">
        <v>47</v>
      </c>
      <c r="E41" s="5">
        <f>SQRT((E39*E39+E39*E40*E40*E40)*E34/3)</f>
        <v>1.06197012278318</v>
      </c>
      <c r="F41" t="s">
        <v>4</v>
      </c>
      <c r="H41" s="9"/>
    </row>
    <row r="42" spans="2:8">
      <c r="B42" s="14"/>
      <c r="C42" s="10"/>
      <c r="D42" s="5" t="s">
        <v>57</v>
      </c>
      <c r="E42" s="5">
        <f>E39*E21</f>
        <v>14.1600698950912</v>
      </c>
      <c r="F42" t="s">
        <v>4</v>
      </c>
      <c r="H42" s="9"/>
    </row>
    <row r="43" spans="2:8">
      <c r="B43" s="14"/>
      <c r="C43" s="10"/>
      <c r="D43" s="5" t="s">
        <v>60</v>
      </c>
      <c r="E43" s="5">
        <f>E40*E21</f>
        <v>4.16329192827068</v>
      </c>
      <c r="F43" t="s">
        <v>4</v>
      </c>
      <c r="H43" s="9"/>
    </row>
    <row r="44" spans="2:8">
      <c r="B44" s="14"/>
      <c r="C44" s="10"/>
      <c r="D44" s="5" t="s">
        <v>49</v>
      </c>
      <c r="E44" s="5">
        <f>SQRT((E42*E42+E42*E43+E43*E43)*(1-E34)/3)</f>
        <v>6.20225693583056</v>
      </c>
      <c r="F44" t="s">
        <v>4</v>
      </c>
      <c r="H44" s="9"/>
    </row>
    <row r="45" spans="2:6">
      <c r="B45" s="14"/>
      <c r="C45" s="14" t="s">
        <v>62</v>
      </c>
      <c r="D45" s="5" t="s">
        <v>63</v>
      </c>
      <c r="E45" s="5">
        <f>E13/(E26*1.414-E27)/E35</f>
        <v>0.913252979884943</v>
      </c>
      <c r="F45" t="s">
        <v>4</v>
      </c>
    </row>
    <row r="46" spans="2:6">
      <c r="B46" s="14"/>
      <c r="C46" s="10"/>
      <c r="D46" s="5" t="s">
        <v>50</v>
      </c>
      <c r="E46" s="5">
        <f>E45*2</f>
        <v>1.82650595976989</v>
      </c>
      <c r="F46" t="s">
        <v>4</v>
      </c>
    </row>
    <row r="47" spans="2:6">
      <c r="B47" s="14"/>
      <c r="C47" s="10"/>
      <c r="D47" s="5" t="s">
        <v>47</v>
      </c>
      <c r="E47" s="5">
        <f>E46*SQRT(E35/3)</f>
        <v>0.698279928385238</v>
      </c>
      <c r="F47" t="s">
        <v>4</v>
      </c>
    </row>
    <row r="48" spans="2:6">
      <c r="B48" s="14"/>
      <c r="C48" s="10"/>
      <c r="D48" s="5" t="s">
        <v>57</v>
      </c>
      <c r="E48" s="5">
        <f>E46*E21</f>
        <v>11.4156622485618</v>
      </c>
      <c r="F48" t="s">
        <v>4</v>
      </c>
    </row>
    <row r="49" spans="2:6">
      <c r="B49" s="14"/>
      <c r="C49" s="10"/>
      <c r="D49" s="5" t="s">
        <v>49</v>
      </c>
      <c r="E49" s="5">
        <f>E48*SQRT((1-E35)/3)</f>
        <v>4.93887038725001</v>
      </c>
      <c r="F49" t="s">
        <v>4</v>
      </c>
    </row>
    <row r="50" spans="2:7">
      <c r="B50" s="14"/>
      <c r="C50" s="14" t="s">
        <v>64</v>
      </c>
      <c r="D50" s="5" t="s">
        <v>65</v>
      </c>
      <c r="E50" s="5">
        <f>E39/(E14/E26)</f>
        <v>4.85488110688841</v>
      </c>
      <c r="G50" t="s">
        <v>66</v>
      </c>
    </row>
    <row r="51" spans="2:6">
      <c r="B51" s="14"/>
      <c r="C51" s="14"/>
      <c r="D51" s="5" t="s">
        <v>67</v>
      </c>
      <c r="E51" s="5">
        <f>0.7*(2+E50)*(2+E50)*E13/(E36)/E50*1000</f>
        <v>6131.36282734547</v>
      </c>
      <c r="F51" t="s">
        <v>68</v>
      </c>
    </row>
    <row r="52" spans="2:6">
      <c r="B52" s="14"/>
      <c r="C52" s="14"/>
      <c r="D52" s="3" t="s">
        <v>69</v>
      </c>
      <c r="E52" s="3">
        <v>118</v>
      </c>
      <c r="F52" t="s">
        <v>55</v>
      </c>
    </row>
    <row r="53" spans="2:6">
      <c r="B53" s="14"/>
      <c r="C53" s="14"/>
      <c r="D53" s="3" t="s">
        <v>70</v>
      </c>
      <c r="E53" s="3">
        <v>0.23</v>
      </c>
      <c r="F53" t="s">
        <v>71</v>
      </c>
    </row>
    <row r="54" spans="2:6">
      <c r="B54" s="14"/>
      <c r="C54" s="14"/>
      <c r="D54" s="5" t="s">
        <v>72</v>
      </c>
      <c r="E54" s="5">
        <f>E33*E39/E52/E53</f>
        <v>38.40018954601</v>
      </c>
      <c r="F54" t="s">
        <v>73</v>
      </c>
    </row>
    <row r="55" spans="2:6">
      <c r="B55" s="14"/>
      <c r="C55" s="14"/>
      <c r="D55" s="5" t="s">
        <v>74</v>
      </c>
      <c r="E55" s="5">
        <f>E54/E21</f>
        <v>6.1440303273616</v>
      </c>
      <c r="F55" t="s">
        <v>73</v>
      </c>
    </row>
    <row r="56" spans="2:6">
      <c r="B56" s="14"/>
      <c r="C56" s="14"/>
      <c r="D56" s="3" t="s">
        <v>75</v>
      </c>
      <c r="E56" s="3">
        <v>6</v>
      </c>
      <c r="F56" t="s">
        <v>73</v>
      </c>
    </row>
    <row r="57" spans="2:6">
      <c r="B57" s="14"/>
      <c r="C57" s="14"/>
      <c r="D57" s="5" t="s">
        <v>76</v>
      </c>
      <c r="E57" s="5">
        <f>E56*E21</f>
        <v>37.5</v>
      </c>
      <c r="F57" t="s">
        <v>73</v>
      </c>
    </row>
    <row r="58" spans="2:6">
      <c r="B58" s="14"/>
      <c r="C58" s="14"/>
      <c r="D58" s="3" t="s">
        <v>77</v>
      </c>
      <c r="E58" s="3">
        <v>38</v>
      </c>
      <c r="F58" t="s">
        <v>73</v>
      </c>
    </row>
    <row r="59" spans="2:5">
      <c r="B59" s="14"/>
      <c r="C59" s="14"/>
      <c r="D59" s="5" t="s">
        <v>78</v>
      </c>
      <c r="E59" s="5">
        <f>E58/E56</f>
        <v>6.33333333333333</v>
      </c>
    </row>
    <row r="60" spans="2:6">
      <c r="B60" s="14"/>
      <c r="C60" s="14"/>
      <c r="D60" s="5" t="s">
        <v>79</v>
      </c>
      <c r="E60" s="5">
        <f>E4*E59</f>
        <v>152</v>
      </c>
      <c r="F60" t="s">
        <v>2</v>
      </c>
    </row>
    <row r="61" spans="2:6">
      <c r="B61" s="14"/>
      <c r="C61" s="14"/>
      <c r="D61" s="5" t="s">
        <v>80</v>
      </c>
      <c r="E61" s="5">
        <f>E60+E12+E18</f>
        <v>680.85</v>
      </c>
      <c r="F61" t="s">
        <v>2</v>
      </c>
    </row>
    <row r="62" spans="2:6">
      <c r="B62" s="14"/>
      <c r="C62" s="14"/>
      <c r="D62" s="5" t="s">
        <v>81</v>
      </c>
      <c r="E62" s="5">
        <f>(E61/E59)+E4</f>
        <v>131.502631578947</v>
      </c>
      <c r="F62" t="s">
        <v>2</v>
      </c>
    </row>
    <row r="63" spans="2:6">
      <c r="B63" s="14"/>
      <c r="C63" s="14"/>
      <c r="D63" s="5" t="s">
        <v>82</v>
      </c>
      <c r="E63" s="5">
        <f>(E61-E18)/E59</f>
        <v>85.3973684210526</v>
      </c>
      <c r="F63" t="s">
        <v>2</v>
      </c>
    </row>
    <row r="64" spans="2:6">
      <c r="B64" s="14"/>
      <c r="C64" s="14"/>
      <c r="D64" s="5" t="s">
        <v>83</v>
      </c>
      <c r="E64" s="5">
        <f>(E12+(E6*E59)+E18)/E59+E6</f>
        <v>139.502631578947</v>
      </c>
      <c r="F64" t="s">
        <v>2</v>
      </c>
    </row>
    <row r="65" spans="2:6">
      <c r="B65" s="14"/>
      <c r="C65" s="14"/>
      <c r="D65" s="5" t="s">
        <v>84</v>
      </c>
      <c r="E65" s="5">
        <f>(((E12+(E6*E59))/E59)+E6)</f>
        <v>117.397368421053</v>
      </c>
      <c r="F65" t="s">
        <v>2</v>
      </c>
    </row>
    <row r="66" spans="2:5">
      <c r="B66" s="14"/>
      <c r="C66" s="14"/>
      <c r="D66" s="5" t="s">
        <v>85</v>
      </c>
      <c r="E66" s="5">
        <f>E60/(E60+E8*1.414)</f>
        <v>0.544295638473107</v>
      </c>
    </row>
    <row r="67" spans="2:5">
      <c r="B67" s="14"/>
      <c r="C67" s="14"/>
      <c r="D67" s="5" t="s">
        <v>86</v>
      </c>
      <c r="E67" s="5">
        <f>E33*E39/E58/E52</f>
        <v>0.232422199883745</v>
      </c>
    </row>
    <row r="68" spans="2:5">
      <c r="B68" s="14"/>
      <c r="C68" s="14"/>
      <c r="D68" s="5" t="s">
        <v>87</v>
      </c>
      <c r="E68" s="5">
        <v>2300</v>
      </c>
    </row>
    <row r="69" spans="2:5">
      <c r="B69" s="14"/>
      <c r="C69" s="14"/>
      <c r="D69" s="5" t="s">
        <v>88</v>
      </c>
      <c r="E69" s="5">
        <f>4*3.14*0.0000001</f>
        <v>1.256e-6</v>
      </c>
    </row>
    <row r="70" spans="2:6">
      <c r="B70" s="14"/>
      <c r="C70" s="14"/>
      <c r="D70" s="5" t="s">
        <v>89</v>
      </c>
      <c r="E70" s="5">
        <v>46.3</v>
      </c>
      <c r="F70" t="s">
        <v>59</v>
      </c>
    </row>
    <row r="71" spans="2:5">
      <c r="B71" s="14"/>
      <c r="C71" s="14"/>
      <c r="D71" s="5" t="s">
        <v>90</v>
      </c>
      <c r="E71" s="5">
        <f>(1/(E33*0.000001))*(E68*E69*E52*0.0001/E70*0.01)*E58*E58</f>
        <v>0.0231114850971922</v>
      </c>
    </row>
    <row r="72" spans="2:5">
      <c r="B72" s="14"/>
      <c r="C72" s="14" t="s">
        <v>91</v>
      </c>
      <c r="D72" s="5" t="s">
        <v>65</v>
      </c>
      <c r="E72" s="5">
        <f>E46/(E13/E26)</f>
        <v>3.56168662155128</v>
      </c>
    </row>
    <row r="73" spans="2:6">
      <c r="B73" s="14"/>
      <c r="C73" s="14"/>
      <c r="D73" s="5" t="s">
        <v>67</v>
      </c>
      <c r="E73" s="5">
        <f>0.7*(2+E72)*(2+E72)*E13/(E30)/E72*1000</f>
        <v>4676.4038748519</v>
      </c>
      <c r="F73" t="s">
        <v>68</v>
      </c>
    </row>
    <row r="74" spans="2:6">
      <c r="B74" s="14"/>
      <c r="C74" s="14"/>
      <c r="D74" s="3" t="s">
        <v>69</v>
      </c>
      <c r="E74" s="3">
        <v>118</v>
      </c>
      <c r="F74" t="s">
        <v>55</v>
      </c>
    </row>
    <row r="75" spans="2:6">
      <c r="B75" s="14"/>
      <c r="C75" s="14"/>
      <c r="D75" s="3" t="s">
        <v>70</v>
      </c>
      <c r="E75" s="3">
        <v>0.23</v>
      </c>
      <c r="F75" t="s">
        <v>71</v>
      </c>
    </row>
    <row r="76" spans="2:6">
      <c r="B76" s="14"/>
      <c r="C76" s="14"/>
      <c r="D76" s="5" t="s">
        <v>72</v>
      </c>
      <c r="E76" s="5">
        <f>E33*E46/E74/E75</f>
        <v>30.957728131693</v>
      </c>
      <c r="F76" t="s">
        <v>73</v>
      </c>
    </row>
    <row r="77" spans="2:6">
      <c r="B77" s="14"/>
      <c r="C77" s="14"/>
      <c r="D77" s="5" t="s">
        <v>74</v>
      </c>
      <c r="E77" s="5">
        <f>E76/E21</f>
        <v>4.95323650107087</v>
      </c>
      <c r="F77" t="s">
        <v>73</v>
      </c>
    </row>
    <row r="78" spans="2:6">
      <c r="B78" s="14"/>
      <c r="C78" s="14"/>
      <c r="D78" s="3" t="s">
        <v>75</v>
      </c>
      <c r="E78" s="3">
        <v>5</v>
      </c>
      <c r="F78" t="s">
        <v>73</v>
      </c>
    </row>
    <row r="79" spans="2:6">
      <c r="B79" s="14"/>
      <c r="C79" s="14"/>
      <c r="D79" s="5" t="s">
        <v>76</v>
      </c>
      <c r="E79" s="5">
        <f>E78*E44</f>
        <v>31.0112846791528</v>
      </c>
      <c r="F79" t="s">
        <v>73</v>
      </c>
    </row>
    <row r="80" spans="2:6">
      <c r="B80" s="14"/>
      <c r="C80" s="14"/>
      <c r="D80" s="3" t="s">
        <v>77</v>
      </c>
      <c r="E80" s="3">
        <v>32</v>
      </c>
      <c r="F80" t="s">
        <v>73</v>
      </c>
    </row>
    <row r="81" spans="2:5">
      <c r="B81" s="14"/>
      <c r="C81" s="14"/>
      <c r="D81" s="5" t="s">
        <v>78</v>
      </c>
      <c r="E81" s="5">
        <f>E80/E78</f>
        <v>6.4</v>
      </c>
    </row>
    <row r="82" spans="2:6">
      <c r="B82" s="14"/>
      <c r="C82" s="14"/>
      <c r="D82" s="5" t="s">
        <v>79</v>
      </c>
      <c r="E82" s="5">
        <f>E4*E81</f>
        <v>153.6</v>
      </c>
      <c r="F82" t="s">
        <v>2</v>
      </c>
    </row>
    <row r="83" spans="2:6">
      <c r="B83" s="14"/>
      <c r="C83" s="14"/>
      <c r="D83" s="5" t="s">
        <v>80</v>
      </c>
      <c r="E83" s="5">
        <f>E82+E12+E18</f>
        <v>682.45</v>
      </c>
      <c r="F83" t="s">
        <v>2</v>
      </c>
    </row>
    <row r="84" spans="2:6">
      <c r="B84" s="14"/>
      <c r="C84" s="14"/>
      <c r="D84" s="5" t="s">
        <v>81</v>
      </c>
      <c r="E84" s="5">
        <f>(E83/E81)+E4</f>
        <v>130.6328125</v>
      </c>
      <c r="F84" t="s">
        <v>2</v>
      </c>
    </row>
    <row r="85" spans="2:6">
      <c r="B85" s="14"/>
      <c r="C85" s="14"/>
      <c r="D85" s="5" t="s">
        <v>82</v>
      </c>
      <c r="E85" s="5">
        <f>(E83-E18)/E81</f>
        <v>84.7578125</v>
      </c>
      <c r="F85" t="s">
        <v>2</v>
      </c>
    </row>
    <row r="86" spans="2:6">
      <c r="B86" s="14"/>
      <c r="C86" s="14"/>
      <c r="D86" s="5" t="s">
        <v>83</v>
      </c>
      <c r="E86" s="5">
        <f>(E82+E18+E12)/E81+E6</f>
        <v>134.6328125</v>
      </c>
      <c r="F86" t="s">
        <v>2</v>
      </c>
    </row>
    <row r="87" spans="2:6">
      <c r="B87" s="14"/>
      <c r="C87" s="14"/>
      <c r="D87" s="5" t="s">
        <v>84</v>
      </c>
      <c r="E87" s="5">
        <f>(E82+E12)/E81+E6</f>
        <v>112.7578125</v>
      </c>
      <c r="F87" t="s">
        <v>2</v>
      </c>
    </row>
    <row r="88" spans="2:5">
      <c r="B88" s="14"/>
      <c r="C88" s="14"/>
      <c r="D88" s="5" t="s">
        <v>85</v>
      </c>
      <c r="E88" s="5">
        <f>E82/(E82+E33*1.414)</f>
        <v>0.191035271877021</v>
      </c>
    </row>
    <row r="89" spans="2:5">
      <c r="B89" s="14"/>
      <c r="C89" s="14"/>
      <c r="D89" s="5" t="s">
        <v>86</v>
      </c>
      <c r="E89" s="5">
        <f>E33*E46/E80/E74</f>
        <v>0.222508670946543</v>
      </c>
    </row>
    <row r="90" spans="2:5">
      <c r="B90" s="14"/>
      <c r="C90" s="14"/>
      <c r="D90" s="5" t="s">
        <v>87</v>
      </c>
      <c r="E90" s="5">
        <v>2300</v>
      </c>
    </row>
    <row r="91" spans="2:5">
      <c r="B91" s="14"/>
      <c r="C91" s="14"/>
      <c r="D91" s="5" t="s">
        <v>88</v>
      </c>
      <c r="E91" s="5">
        <f>4*3.14*0.0000001</f>
        <v>1.256e-6</v>
      </c>
    </row>
    <row r="92" spans="2:6">
      <c r="B92" s="14"/>
      <c r="C92" s="14"/>
      <c r="D92" s="5" t="s">
        <v>89</v>
      </c>
      <c r="E92" s="5">
        <v>55.5</v>
      </c>
      <c r="F92" t="s">
        <v>59</v>
      </c>
    </row>
    <row r="93" spans="2:5">
      <c r="B93" s="14"/>
      <c r="C93" s="14"/>
      <c r="D93" s="5" t="s">
        <v>90</v>
      </c>
      <c r="E93" s="5">
        <f>(1/(E55*0.000001))*(E90*E91*E74*0.0001/E92*0.01)*E80*E80</f>
        <v>1.02365380600744</v>
      </c>
    </row>
  </sheetData>
  <mergeCells count="10">
    <mergeCell ref="B37:B93"/>
    <mergeCell ref="C16:C19"/>
    <mergeCell ref="C22:C25"/>
    <mergeCell ref="C26:C33"/>
    <mergeCell ref="C37:C44"/>
    <mergeCell ref="C45:C49"/>
    <mergeCell ref="C50:C71"/>
    <mergeCell ref="C72:C93"/>
    <mergeCell ref="H37:H44"/>
    <mergeCell ref="G22:H23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额定</vt:lpstr>
      <vt:lpstr>最大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Simon-TIECO</cp:lastModifiedBy>
  <dcterms:created xsi:type="dcterms:W3CDTF">2023-05-12T11:15:00Z</dcterms:created>
  <dcterms:modified xsi:type="dcterms:W3CDTF">2025-07-19T12:39:15Z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6AFE39E4E51244ADA82CAF806B377E7E_12</vt:lpwstr>
  </property>
</Properties>
</file>