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86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<sst xmlns="http://schemas.openxmlformats.org/spreadsheetml/2006/main" count="82" uniqueCount="50">
  <si>
    <t>只需要填黄色区域的变压器绕组匝数，和R1,R2取值。可以自动计算绿色部分的欠压过压保护点</t>
  </si>
  <si>
    <t>输入电压</t>
  </si>
  <si>
    <t>V</t>
  </si>
  <si>
    <t>纹波</t>
  </si>
  <si>
    <t>Vor</t>
  </si>
  <si>
    <t>原边匝数</t>
  </si>
  <si>
    <t>匝比</t>
  </si>
  <si>
    <t>VCC匝数</t>
  </si>
  <si>
    <t>实际Vaux</t>
  </si>
  <si>
    <t>副边匝数</t>
  </si>
  <si>
    <t>Iaux过压阈值</t>
  </si>
  <si>
    <t>A</t>
  </si>
  <si>
    <t>Iaux过压点</t>
  </si>
  <si>
    <t>R1</t>
  </si>
  <si>
    <t>Ohms</t>
  </si>
  <si>
    <t>R2</t>
  </si>
  <si>
    <t>Iaux</t>
  </si>
  <si>
    <t>输出OVP</t>
  </si>
  <si>
    <t>Vdem</t>
  </si>
  <si>
    <t>输入欠压保护点</t>
  </si>
  <si>
    <t>输入过压保护点</t>
  </si>
  <si>
    <t>欠压保护</t>
  </si>
  <si>
    <t>Ibrown in (uA)</t>
  </si>
  <si>
    <t>100-114uA</t>
  </si>
  <si>
    <t>欠压保护退出</t>
  </si>
  <si>
    <t>Ibrown out(uA)</t>
  </si>
  <si>
    <t>95-105uA</t>
  </si>
  <si>
    <t>n</t>
  </si>
  <si>
    <t>Vout</t>
  </si>
  <si>
    <t>Von</t>
  </si>
  <si>
    <t>D</t>
  </si>
  <si>
    <t>Po</t>
  </si>
  <si>
    <t>效率</t>
  </si>
  <si>
    <t>Pin</t>
  </si>
  <si>
    <t>L</t>
  </si>
  <si>
    <t>f</t>
  </si>
  <si>
    <t>Vds_次</t>
  </si>
  <si>
    <t>Ton</t>
  </si>
  <si>
    <t>最大DC母线电压</t>
  </si>
  <si>
    <t>最小母线电压</t>
  </si>
  <si>
    <t>电容容值</t>
  </si>
  <si>
    <t>工频f</t>
  </si>
  <si>
    <t>输入功率</t>
  </si>
  <si>
    <t>PC44磁导率</t>
  </si>
  <si>
    <t>H/M</t>
  </si>
  <si>
    <t>真空磁导率</t>
  </si>
  <si>
    <t>Ae</t>
  </si>
  <si>
    <t>Z值</t>
  </si>
  <si>
    <t>气隙长度</t>
  </si>
  <si>
    <t>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</si>
</sst>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0_ "/>
    <numFmt numFmtId="177" formatCode="0.00000000000_ "/>
  </numFmts>
  <fonts count="2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0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2" borderId="1" xfId="0" applyFill="1" applyBorder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177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18</xdr:col>
      <xdr:colOff>243840</xdr:colOff>
      <xdr:row>5</xdr:row>
      <xdr:rowOff>167640</xdr:rowOff>
    </xdr:from>
    <xdr:to>
      <xdr:col>25</xdr:col>
      <xdr:colOff>160020</xdr:colOff>
      <xdr:row>27</xdr:row>
      <xdr:rowOff>114300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205460" y="1082040"/>
          <a:ext cx="4183380" cy="3970020"/>
        </a:xfrm>
        <a:prstGeom prst="round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I4:Q39"/>
  <sheetViews>
    <sheetView tabSelected="1" topLeftCell="J1" workbookViewId="0">
      <selection activeCell="T4" sqref="T4"/>
    </sheetView>
  </sheetViews>
  <sheetFormatPr defaultColWidth="8.88888888888889" defaultRowHeight="14.4"/>
  <cols>
    <col min="8" max="8" width="12.8888888888889"/>
    <col min="14" max="14" width="12.8888888888889"/>
    <col min="15" max="15" width="18.5555555555556" customWidth="1"/>
    <col min="16" max="16" width="20.2222222222222" customWidth="1"/>
  </cols>
  <sheetData>
    <row r="4" spans="12:12">
      <c r="L4" s="2" t="s">
        <v>0</v>
      </c>
    </row>
    <row r="7" spans="15:17">
      <c r="O7" t="s">
        <v>1</v>
      </c>
      <c r="P7">
        <v>230</v>
      </c>
      <c r="Q7" t="s">
        <v>2</v>
      </c>
    </row>
    <row r="8" spans="15:17">
      <c r="O8" t="s">
        <v>3</v>
      </c>
      <c r="P8">
        <v>15</v>
      </c>
      <c r="Q8" t="s">
        <v>2</v>
      </c>
    </row>
    <row r="9" spans="15:17">
      <c r="O9" t="s">
        <v>4</v>
      </c>
      <c r="P9">
        <v>140</v>
      </c>
      <c r="Q9" t="s">
        <v>2</v>
      </c>
    </row>
    <row r="10" spans="13:16">
      <c r="M10" s="3" t="s">
        <v>5</v>
      </c>
      <c r="N10" s="3">
        <v>32</v>
      </c>
      <c r="O10" t="s">
        <v>6</v>
      </c>
      <c r="P10">
        <f>N10/N11</f>
        <v>8</v>
      </c>
    </row>
    <row r="11" spans="13:16">
      <c r="M11" s="3" t="s">
        <v>7</v>
      </c>
      <c r="N11" s="3">
        <v>4</v>
      </c>
      <c r="O11" t="s">
        <v>8</v>
      </c>
      <c r="P11">
        <f>(P7*1.414-P8+P9)/P10</f>
        <v>56.2775</v>
      </c>
    </row>
    <row r="12" spans="13:17">
      <c r="M12" s="3" t="s">
        <v>9</v>
      </c>
      <c r="N12" s="3">
        <v>5</v>
      </c>
      <c r="O12" t="s">
        <v>10</v>
      </c>
      <c r="P12">
        <v>0.000425</v>
      </c>
      <c r="Q12" t="s">
        <v>11</v>
      </c>
    </row>
    <row r="13" spans="15:16">
      <c r="O13" t="s">
        <v>12</v>
      </c>
      <c r="P13" s="4">
        <f>(0.1/P19)+(0.1-P11)/P18</f>
        <v>-0.000462590277777778</v>
      </c>
    </row>
    <row r="18" spans="15:17">
      <c r="O18" s="5" t="s">
        <v>13</v>
      </c>
      <c r="P18" s="5">
        <v>120000</v>
      </c>
      <c r="Q18" t="s">
        <v>14</v>
      </c>
    </row>
    <row r="19" spans="15:17">
      <c r="O19" s="5" t="s">
        <v>15</v>
      </c>
      <c r="P19" s="5">
        <v>18000</v>
      </c>
      <c r="Q19" t="s">
        <v>14</v>
      </c>
    </row>
    <row r="20" spans="15:17">
      <c r="O20" t="s">
        <v>16</v>
      </c>
      <c r="P20" s="4">
        <f>(0.1/P19)+(0.1-P17)/P18</f>
        <v>6.38888888888889e-6</v>
      </c>
      <c r="Q20" t="s">
        <v>11</v>
      </c>
    </row>
    <row r="21" spans="11:17">
      <c r="K21">
        <f>P17/(P18+P19)*P19</f>
        <v>0</v>
      </c>
      <c r="O21" t="s">
        <v>17</v>
      </c>
      <c r="P21">
        <f>(3*(P18+P19)/P19)*(N12/N11)</f>
        <v>28.75</v>
      </c>
      <c r="Q21" t="s">
        <v>2</v>
      </c>
    </row>
    <row r="22" spans="15:17">
      <c r="O22" t="s">
        <v>18</v>
      </c>
      <c r="P22" s="6">
        <f>P11*P19/(P18+P19)</f>
        <v>7.34054347826087</v>
      </c>
      <c r="Q22" t="s">
        <v>2</v>
      </c>
    </row>
    <row r="23" spans="15:17">
      <c r="O23" s="7" t="s">
        <v>19</v>
      </c>
      <c r="P23" s="7">
        <f>((((0.1*(1+P19/P18)-P28*P19)/(P19/P18)*-1)*P10)+P8)/1.414</f>
        <v>74.1631305987742</v>
      </c>
      <c r="Q23" t="s">
        <v>2</v>
      </c>
    </row>
    <row r="24" spans="15:17">
      <c r="O24" s="7" t="s">
        <v>20</v>
      </c>
      <c r="P24" s="7">
        <f>((((0.1*(1+P19/P18)-P12*P19)/(P19/P18)*-1)*P10)+P8)/1.414</f>
        <v>294.813767090995</v>
      </c>
      <c r="Q24" t="s">
        <v>2</v>
      </c>
    </row>
    <row r="28" spans="14:17">
      <c r="N28" t="s">
        <v>21</v>
      </c>
      <c r="O28" t="s">
        <v>22</v>
      </c>
      <c r="P28" s="8">
        <v>0.0001</v>
      </c>
      <c r="Q28" t="s">
        <v>23</v>
      </c>
    </row>
    <row r="29" spans="14:17">
      <c r="N29" t="s">
        <v>24</v>
      </c>
      <c r="O29" t="s">
        <v>25</v>
      </c>
      <c r="P29" s="8">
        <v>95</v>
      </c>
      <c r="Q29" t="s">
        <v>26</v>
      </c>
    </row>
    <row r="39" spans="9:9">
      <c r="I39">
        <f>(320+71+60)/5</f>
        <v>90.2</v>
      </c>
    </row>
  </sheetData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8:X38"/>
  <sheetViews>
    <sheetView workbookViewId="0">
      <selection activeCell="F11" sqref="F11"/>
    </sheetView>
  </sheetViews>
  <sheetFormatPr defaultColWidth="8.88888888888889" defaultRowHeight="14.4"/>
  <cols>
    <col min="6" max="6" width="12.8888888888889"/>
    <col min="12" max="12" width="13.7777777777778" customWidth="1"/>
    <col min="13" max="14" width="12.8888888888889"/>
    <col min="16" max="16" width="12.8888888888889"/>
    <col min="21" max="21" width="20.1111111111111" customWidth="1"/>
    <col min="24" max="24" width="14.1111111111111"/>
  </cols>
  <sheetData>
    <row r="8" spans="5:6">
      <c r="E8" t="s">
        <v>27</v>
      </c>
      <c r="F8">
        <v>5.31</v>
      </c>
    </row>
    <row r="9" spans="5:6">
      <c r="E9" t="s">
        <v>28</v>
      </c>
      <c r="F9">
        <v>27.5</v>
      </c>
    </row>
    <row r="10" spans="5:6">
      <c r="E10" t="s">
        <v>4</v>
      </c>
      <c r="F10">
        <f>F8*F9</f>
        <v>146.025</v>
      </c>
    </row>
    <row r="11" spans="5:6">
      <c r="E11" t="s">
        <v>29</v>
      </c>
      <c r="F11">
        <v>192</v>
      </c>
    </row>
    <row r="12" spans="5:6">
      <c r="E12" t="s">
        <v>30</v>
      </c>
      <c r="F12" s="1">
        <f>F10/(F11+F10)</f>
        <v>0.431994674950078</v>
      </c>
    </row>
    <row r="13" spans="5:6">
      <c r="E13" t="s">
        <v>31</v>
      </c>
      <c r="F13">
        <v>100</v>
      </c>
    </row>
    <row r="14" spans="5:6">
      <c r="E14" t="s">
        <v>32</v>
      </c>
      <c r="F14">
        <v>0.91</v>
      </c>
    </row>
    <row r="15" spans="5:6">
      <c r="E15" t="s">
        <v>33</v>
      </c>
      <c r="F15">
        <f>F13/F14</f>
        <v>109.89010989011</v>
      </c>
    </row>
    <row r="16" spans="5:6">
      <c r="E16" t="s">
        <v>34</v>
      </c>
      <c r="F16">
        <f>(F11*F11*F12*F12)/(F15*2*F17)</f>
        <v>0.00040651812686515</v>
      </c>
    </row>
    <row r="17" spans="5:6">
      <c r="E17" t="s">
        <v>35</v>
      </c>
      <c r="F17">
        <v>77000</v>
      </c>
    </row>
    <row r="18" spans="5:16">
      <c r="E18" t="s">
        <v>31</v>
      </c>
      <c r="F18">
        <f>((F11*F11)*(F12*F12)*0.5)/(F16*F17)</f>
        <v>109.89010989011</v>
      </c>
      <c r="L18" t="s">
        <v>27</v>
      </c>
      <c r="M18">
        <f>M20/M19</f>
        <v>4</v>
      </c>
      <c r="O18" t="s">
        <v>27</v>
      </c>
      <c r="P18">
        <v>5.31</v>
      </c>
    </row>
    <row r="19" spans="5:16">
      <c r="E19" t="s">
        <v>36</v>
      </c>
      <c r="F19">
        <f>(1.6*F10+F11)/(F10/F9)+F9</f>
        <v>107.658192090395</v>
      </c>
      <c r="L19" t="s">
        <v>28</v>
      </c>
      <c r="M19">
        <v>24</v>
      </c>
      <c r="O19" t="s">
        <v>28</v>
      </c>
      <c r="P19">
        <v>24</v>
      </c>
    </row>
    <row r="20" spans="5:16">
      <c r="E20" t="s">
        <v>37</v>
      </c>
      <c r="F20">
        <f>(1/F17)*F12</f>
        <v>5.61032045389711e-6</v>
      </c>
      <c r="L20" t="s">
        <v>4</v>
      </c>
      <c r="M20">
        <v>96</v>
      </c>
      <c r="O20" t="s">
        <v>4</v>
      </c>
      <c r="P20">
        <f>P18*P19</f>
        <v>127.44</v>
      </c>
    </row>
    <row r="21" spans="12:16">
      <c r="L21" t="s">
        <v>29</v>
      </c>
      <c r="M21">
        <v>192</v>
      </c>
      <c r="O21" t="s">
        <v>29</v>
      </c>
      <c r="P21">
        <v>192</v>
      </c>
    </row>
    <row r="22" spans="12:16">
      <c r="L22" t="s">
        <v>30</v>
      </c>
      <c r="M22" s="1">
        <f>M20/(M21+M20)</f>
        <v>0.333333333333333</v>
      </c>
      <c r="O22" t="s">
        <v>30</v>
      </c>
      <c r="P22" s="1">
        <f>P20/(P21+P20)</f>
        <v>0.398948159278738</v>
      </c>
    </row>
    <row r="23" spans="12:16">
      <c r="L23" t="s">
        <v>34</v>
      </c>
      <c r="M23">
        <v>0.00024</v>
      </c>
      <c r="O23" t="s">
        <v>34</v>
      </c>
      <c r="P23">
        <v>0.0003</v>
      </c>
    </row>
    <row r="24" spans="12:22">
      <c r="L24" t="s">
        <v>35</v>
      </c>
      <c r="M24">
        <v>65000</v>
      </c>
      <c r="O24" t="s">
        <v>35</v>
      </c>
      <c r="P24">
        <v>77000</v>
      </c>
      <c r="U24" t="s">
        <v>1</v>
      </c>
      <c r="V24">
        <v>150</v>
      </c>
    </row>
    <row r="25" spans="12:22">
      <c r="L25" t="s">
        <v>31</v>
      </c>
      <c r="M25">
        <f>((M21*M21)*(M22*M22)*0.5)/(M23*M24)</f>
        <v>131.282051282051</v>
      </c>
      <c r="O25" t="s">
        <v>31</v>
      </c>
      <c r="P25">
        <f>((P21*P21)*(P22*P22)*0.5)/(P23*P24)</f>
        <v>126.996985716544</v>
      </c>
      <c r="U25" t="s">
        <v>38</v>
      </c>
      <c r="V25">
        <f>V24*1.414</f>
        <v>212.1</v>
      </c>
    </row>
    <row r="26" spans="12:24">
      <c r="L26" t="s">
        <v>36</v>
      </c>
      <c r="M26">
        <f>(1.6*M20+M21)/(M20/M19)+24</f>
        <v>110.4</v>
      </c>
      <c r="O26" t="s">
        <v>36</v>
      </c>
      <c r="P26">
        <f>(1.6*P20+P21)/(P20/P19)+24</f>
        <v>98.5581920903955</v>
      </c>
      <c r="U26" t="s">
        <v>39</v>
      </c>
      <c r="V26" t="e">
        <f>SQRT(X26)</f>
        <v>#NUM!</v>
      </c>
      <c r="X26">
        <f>(V25*V25-((V29*0.8)/V27*V28))</f>
        <v>-29821680.2566667</v>
      </c>
    </row>
    <row r="27" spans="12:22">
      <c r="L27" t="s">
        <v>37</v>
      </c>
      <c r="M27">
        <f>(1/M24)*M22</f>
        <v>5.12820512820513e-6</v>
      </c>
      <c r="O27" t="s">
        <v>37</v>
      </c>
      <c r="P27">
        <f>(1/P24)*P22</f>
        <v>5.18114492569789e-6</v>
      </c>
      <c r="U27" t="s">
        <v>40</v>
      </c>
      <c r="V27">
        <v>0.00015</v>
      </c>
    </row>
    <row r="28" spans="21:22">
      <c r="U28" t="s">
        <v>41</v>
      </c>
      <c r="V28">
        <v>50</v>
      </c>
    </row>
    <row r="29" spans="21:22">
      <c r="U29" t="s">
        <v>42</v>
      </c>
      <c r="V29">
        <v>112</v>
      </c>
    </row>
    <row r="33" spans="12:14">
      <c r="L33" t="s">
        <v>43</v>
      </c>
      <c r="M33">
        <v>2300</v>
      </c>
      <c r="N33" t="s">
        <v>44</v>
      </c>
    </row>
    <row r="34" spans="12:13">
      <c r="L34" t="s">
        <v>45</v>
      </c>
      <c r="M34">
        <f>4*3.14*0.0000001</f>
        <v>1.256e-6</v>
      </c>
    </row>
    <row r="35" spans="12:13">
      <c r="L35" t="s">
        <v>46</v>
      </c>
      <c r="M35">
        <v>161</v>
      </c>
    </row>
    <row r="36" spans="12:13">
      <c r="L36" t="s">
        <v>5</v>
      </c>
      <c r="M36">
        <v>24</v>
      </c>
    </row>
    <row r="37" spans="12:13">
      <c r="L37" t="s">
        <v>47</v>
      </c>
      <c r="M37">
        <f>M33*0.001*M34*M35*M36*M36/(P23*74.6)</f>
        <v>11.9703197855228</v>
      </c>
    </row>
    <row r="38" spans="12:14">
      <c r="L38" t="s">
        <v>48</v>
      </c>
      <c r="M38">
        <f>((M37-1)/2300)</f>
        <v>0.00476970425457513</v>
      </c>
      <c r="N38" t="s">
        <v>49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Simon-TIECO</cp:lastModifiedBy>
  <dcterms:created xsi:type="dcterms:W3CDTF">2024-06-04T03:13:00Z</dcterms:created>
  <dcterms:modified xsi:type="dcterms:W3CDTF">2025-07-24T11:30:57Z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7CDF51E19ABC4316B01739374EA5725D_11</vt:lpwstr>
  </property>
  <property fmtid="{D5CDD505-2E9C-101B-9397-08002B2CF9AE}" pid="3" name="KSOProductBuildVer">
    <vt:lpwstr>2052-12.1.0.21915</vt:lpwstr>
  </property>
</Properties>
</file>